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Мой диск\Пересвет_Центр\Projects\250813_Валидация ГЭХ\02_Working\Финализация\Итоги\"/>
    </mc:Choice>
  </mc:AlternateContent>
  <xr:revisionPtr revIDLastSave="0" documentId="13_ncr:1_{B8AA3486-2835-4488-AF90-EFB1FEE15422}" xr6:coauthVersionLast="47" xr6:coauthVersionMax="47" xr10:uidLastSave="{00000000-0000-0000-0000-000000000000}"/>
  <bookViews>
    <workbookView xWindow="-28920" yWindow="-120" windowWidth="29040" windowHeight="15720" tabRatio="918" xr2:uid="{E9CE74A8-B141-4BFB-BC60-B3AD742CBF38}"/>
  </bookViews>
  <sheets>
    <sheet name="Свод" sheetId="16" r:id="rId1"/>
    <sheet name="Исходные данные&gt;&gt;" sheetId="19" r:id="rId2"/>
    <sheet name="Исходные данные_отпуск тепла" sheetId="10" r:id="rId3"/>
    <sheet name="Исходные данные_котельные" sheetId="22" r:id="rId4"/>
    <sheet name="Исходные данные_топл. эффект" sheetId="13" r:id="rId5"/>
    <sheet name="Исходные данные_показатели ТЭЦ" sheetId="23" r:id="rId6"/>
    <sheet name="Коэффициенты&gt;&gt;" sheetId="20" r:id="rId7"/>
    <sheet name="Природный газ" sheetId="12" r:id="rId8"/>
    <sheet name="Расчетные модели&gt;&gt;" sheetId="21" r:id="rId9"/>
    <sheet name="Базовая линия" sheetId="9" r:id="rId10"/>
    <sheet name="Проектный сценарий" sheetId="15" r:id="rId11"/>
  </sheets>
  <definedNames>
    <definedName name="_xlnm._FilterDatabase" localSheetId="2" hidden="1">'Исходные данные_отпуск тепла'!$C$2:$BB$13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3" i="16" l="1"/>
  <c r="M13" i="16"/>
  <c r="L13" i="16"/>
  <c r="K13" i="16"/>
  <c r="J13" i="16"/>
  <c r="I13" i="16"/>
  <c r="H13" i="16"/>
  <c r="G13" i="16"/>
  <c r="F13" i="16"/>
  <c r="E13" i="16"/>
  <c r="D13" i="16"/>
  <c r="N5" i="16"/>
  <c r="M5" i="16"/>
  <c r="L5" i="16"/>
  <c r="K5" i="16"/>
  <c r="J5" i="16"/>
  <c r="I5" i="16"/>
  <c r="H5" i="16"/>
  <c r="G5" i="16"/>
  <c r="F5" i="16"/>
  <c r="E5" i="16"/>
  <c r="D5" i="16"/>
  <c r="AG6" i="9" l="1"/>
  <c r="AG7" i="9"/>
  <c r="AG8" i="9"/>
  <c r="AG5" i="9"/>
  <c r="AB6" i="9"/>
  <c r="AB7" i="9"/>
  <c r="AB8" i="9"/>
  <c r="AB5" i="9"/>
  <c r="W6" i="9"/>
  <c r="W7" i="9"/>
  <c r="W8" i="9"/>
  <c r="W5" i="9"/>
  <c r="R6" i="9"/>
  <c r="R7" i="9"/>
  <c r="R8" i="9"/>
  <c r="R5" i="9"/>
  <c r="M6" i="9"/>
  <c r="M7" i="9"/>
  <c r="M8" i="9"/>
  <c r="M5" i="9"/>
  <c r="AG9" i="9"/>
  <c r="AH9" i="9" l="1"/>
  <c r="AA16" i="15" l="1"/>
  <c r="AA15" i="15"/>
  <c r="AA14" i="15"/>
  <c r="AA13" i="15"/>
  <c r="AA12" i="15"/>
  <c r="AA11" i="15"/>
  <c r="AA10" i="15"/>
  <c r="W16" i="15"/>
  <c r="W15" i="15"/>
  <c r="W14" i="15"/>
  <c r="W13" i="15"/>
  <c r="W12" i="15"/>
  <c r="W11" i="15"/>
  <c r="W10" i="15"/>
  <c r="AH15" i="9"/>
  <c r="AC15" i="9"/>
  <c r="K16" i="15"/>
  <c r="K15" i="15"/>
  <c r="K14" i="15"/>
  <c r="K13" i="15"/>
  <c r="K12" i="15"/>
  <c r="K11" i="15"/>
  <c r="K10" i="15"/>
  <c r="S16" i="15"/>
  <c r="S15" i="15"/>
  <c r="S14" i="15"/>
  <c r="S13" i="15"/>
  <c r="S12" i="15"/>
  <c r="S11" i="15"/>
  <c r="S10" i="15"/>
  <c r="G10" i="15"/>
  <c r="G11" i="15"/>
  <c r="G12" i="15"/>
  <c r="G13" i="15"/>
  <c r="G14" i="15"/>
  <c r="G15" i="15"/>
  <c r="G16" i="15"/>
  <c r="O16" i="15"/>
  <c r="O15" i="15"/>
  <c r="O14" i="15"/>
  <c r="O13" i="15"/>
  <c r="O12" i="15"/>
  <c r="O11" i="15"/>
  <c r="O10" i="15"/>
  <c r="AH10" i="9"/>
  <c r="AH11" i="9"/>
  <c r="AH12" i="9"/>
  <c r="AH13" i="9"/>
  <c r="AH14" i="9"/>
  <c r="AC10" i="9"/>
  <c r="AC11" i="9"/>
  <c r="AC12" i="9"/>
  <c r="AC13" i="9"/>
  <c r="AC14" i="9"/>
  <c r="AC9" i="9"/>
  <c r="X15" i="9"/>
  <c r="X10" i="9"/>
  <c r="X11" i="9"/>
  <c r="X12" i="9"/>
  <c r="X13" i="9"/>
  <c r="X14" i="9"/>
  <c r="X9" i="9"/>
  <c r="S15" i="9"/>
  <c r="S10" i="9"/>
  <c r="S11" i="9"/>
  <c r="S12" i="9"/>
  <c r="S13" i="9"/>
  <c r="S14" i="9"/>
  <c r="S9" i="9"/>
  <c r="N15" i="9"/>
  <c r="N10" i="9"/>
  <c r="N11" i="9"/>
  <c r="N12" i="9"/>
  <c r="N13" i="9"/>
  <c r="N14" i="9"/>
  <c r="N9" i="9"/>
  <c r="P9" i="9"/>
  <c r="AB10" i="9"/>
  <c r="AB11" i="9"/>
  <c r="AB12" i="9"/>
  <c r="AB13" i="9"/>
  <c r="AB14" i="9"/>
  <c r="AB15" i="9"/>
  <c r="AB9" i="9"/>
  <c r="W10" i="9"/>
  <c r="W11" i="9"/>
  <c r="W12" i="9"/>
  <c r="W13" i="9"/>
  <c r="W14" i="9"/>
  <c r="W15" i="9"/>
  <c r="W9" i="9"/>
  <c r="R10" i="9"/>
  <c r="R11" i="9"/>
  <c r="R12" i="9"/>
  <c r="R13" i="9"/>
  <c r="R14" i="9"/>
  <c r="R15" i="9"/>
  <c r="R9" i="9"/>
  <c r="M10" i="9"/>
  <c r="M11" i="9"/>
  <c r="M12" i="9"/>
  <c r="M13" i="9"/>
  <c r="M14" i="9"/>
  <c r="M15" i="9"/>
  <c r="M9" i="9"/>
  <c r="AG15" i="9"/>
  <c r="AG14" i="9"/>
  <c r="AG13" i="9"/>
  <c r="AG12" i="9"/>
  <c r="AG11" i="9"/>
  <c r="AG10" i="9"/>
  <c r="C9" i="9"/>
  <c r="C16" i="15" l="1"/>
  <c r="C12" i="15"/>
  <c r="C13" i="15"/>
  <c r="C14" i="15"/>
  <c r="C15" i="15"/>
  <c r="AA18" i="15" s="1"/>
  <c r="C11" i="15"/>
  <c r="C10" i="15"/>
  <c r="I9" i="9"/>
  <c r="K6" i="15"/>
  <c r="R13" i="10"/>
  <c r="I15" i="9"/>
  <c r="I10" i="9"/>
  <c r="I11" i="9"/>
  <c r="I12" i="9"/>
  <c r="I13" i="9"/>
  <c r="I14" i="9"/>
  <c r="D15" i="9"/>
  <c r="D10" i="9"/>
  <c r="D11" i="9"/>
  <c r="D12" i="9"/>
  <c r="D13" i="9"/>
  <c r="D14" i="9"/>
  <c r="D9" i="9"/>
  <c r="P8" i="23"/>
  <c r="AA8" i="15"/>
  <c r="AA7" i="15"/>
  <c r="AA6" i="15"/>
  <c r="W9" i="15"/>
  <c r="W8" i="15"/>
  <c r="W7" i="15"/>
  <c r="W6" i="15"/>
  <c r="S9" i="15"/>
  <c r="S8" i="15"/>
  <c r="S7" i="15"/>
  <c r="S6" i="15"/>
  <c r="AC16" i="15"/>
  <c r="AC15" i="15"/>
  <c r="AC14" i="15"/>
  <c r="AC13" i="15"/>
  <c r="AC12" i="15"/>
  <c r="AC11" i="15"/>
  <c r="AC10" i="15"/>
  <c r="Y16" i="15"/>
  <c r="Y15" i="15"/>
  <c r="Y14" i="15"/>
  <c r="Y13" i="15"/>
  <c r="Y12" i="15"/>
  <c r="Y11" i="15"/>
  <c r="Y10" i="15"/>
  <c r="AC9" i="15"/>
  <c r="AC8" i="15"/>
  <c r="AC7" i="15"/>
  <c r="AC6" i="15"/>
  <c r="Y9" i="15"/>
  <c r="Y8" i="15"/>
  <c r="Y7" i="15"/>
  <c r="Y6" i="15"/>
  <c r="K8" i="15"/>
  <c r="K9" i="15"/>
  <c r="K7" i="15"/>
  <c r="M16" i="15"/>
  <c r="M15" i="15"/>
  <c r="M14" i="15"/>
  <c r="M13" i="15"/>
  <c r="M12" i="15"/>
  <c r="M11" i="15"/>
  <c r="M10" i="15"/>
  <c r="M9" i="15"/>
  <c r="M8" i="15"/>
  <c r="M7" i="15"/>
  <c r="M6" i="15"/>
  <c r="G9" i="15"/>
  <c r="G8" i="15"/>
  <c r="G7" i="15"/>
  <c r="G6" i="15"/>
  <c r="C9" i="15"/>
  <c r="C8" i="15"/>
  <c r="C7" i="15"/>
  <c r="F74" i="13"/>
  <c r="E74" i="13"/>
  <c r="D74" i="13"/>
  <c r="G62" i="13"/>
  <c r="F62" i="13"/>
  <c r="E62" i="13"/>
  <c r="D62" i="13"/>
  <c r="G50" i="13"/>
  <c r="F50" i="13"/>
  <c r="E50" i="13"/>
  <c r="D50" i="13"/>
  <c r="D16" i="13"/>
  <c r="E16" i="13"/>
  <c r="F16" i="13"/>
  <c r="G16" i="13"/>
  <c r="G27" i="13"/>
  <c r="F27" i="13"/>
  <c r="E27" i="13"/>
  <c r="D27" i="13"/>
  <c r="E5" i="13"/>
  <c r="D5" i="13"/>
  <c r="AC8" i="9" l="1"/>
  <c r="X8" i="9"/>
  <c r="S8" i="9"/>
  <c r="AH7" i="9"/>
  <c r="AC7" i="9"/>
  <c r="X7" i="9"/>
  <c r="S7" i="9"/>
  <c r="AH6" i="9"/>
  <c r="AC6" i="9"/>
  <c r="X6" i="9"/>
  <c r="S6" i="9"/>
  <c r="AH5" i="9"/>
  <c r="AC5" i="9"/>
  <c r="S5" i="9"/>
  <c r="AJ15" i="9"/>
  <c r="AJ14" i="9"/>
  <c r="AJ13" i="9"/>
  <c r="AJ12" i="9"/>
  <c r="AJ11" i="9"/>
  <c r="AJ10" i="9"/>
  <c r="AJ9" i="9"/>
  <c r="AJ8" i="9"/>
  <c r="AJ7" i="9"/>
  <c r="AJ6" i="9"/>
  <c r="AJ5" i="9"/>
  <c r="AE15" i="9"/>
  <c r="AE14" i="9"/>
  <c r="AE13" i="9"/>
  <c r="AE12" i="9"/>
  <c r="AE11" i="9"/>
  <c r="AE10" i="9"/>
  <c r="AE9" i="9"/>
  <c r="AE8" i="9"/>
  <c r="AE7" i="9"/>
  <c r="AE6" i="9"/>
  <c r="AE5" i="9"/>
  <c r="Z15" i="9"/>
  <c r="Z14" i="9"/>
  <c r="Z13" i="9"/>
  <c r="Z12" i="9"/>
  <c r="Z11" i="9"/>
  <c r="Z10" i="9"/>
  <c r="Z9" i="9"/>
  <c r="Z8" i="9"/>
  <c r="Z7" i="9"/>
  <c r="Z6" i="9"/>
  <c r="Z5" i="9"/>
  <c r="U15" i="9"/>
  <c r="U14" i="9"/>
  <c r="U13" i="9"/>
  <c r="U12" i="9"/>
  <c r="U11" i="9"/>
  <c r="U10" i="9"/>
  <c r="U9" i="9"/>
  <c r="U8" i="9"/>
  <c r="U7" i="9"/>
  <c r="U6" i="9"/>
  <c r="U5" i="9"/>
  <c r="U16" i="15"/>
  <c r="U15" i="15"/>
  <c r="U14" i="15"/>
  <c r="U13" i="15"/>
  <c r="U12" i="15"/>
  <c r="U11" i="15"/>
  <c r="U10" i="15"/>
  <c r="U9" i="15"/>
  <c r="U8" i="15"/>
  <c r="U7" i="15"/>
  <c r="U6" i="15"/>
  <c r="BB75" i="23"/>
  <c r="BA75" i="23"/>
  <c r="AZ75" i="23"/>
  <c r="AY75" i="23"/>
  <c r="AX75" i="23"/>
  <c r="AW75" i="23"/>
  <c r="AV75" i="23"/>
  <c r="AU75" i="23"/>
  <c r="AT75" i="23"/>
  <c r="AS75" i="23"/>
  <c r="AR75" i="23"/>
  <c r="AQ75" i="23"/>
  <c r="BB74" i="23"/>
  <c r="BA74" i="23"/>
  <c r="AZ74" i="23"/>
  <c r="AY74" i="23"/>
  <c r="AX74" i="23"/>
  <c r="AW74" i="23"/>
  <c r="AV74" i="23"/>
  <c r="AU74" i="23"/>
  <c r="AT74" i="23"/>
  <c r="AS74" i="23"/>
  <c r="AR74" i="23"/>
  <c r="AQ74" i="23"/>
  <c r="BB73" i="23"/>
  <c r="BA73" i="23"/>
  <c r="AZ73" i="23"/>
  <c r="AY73" i="23"/>
  <c r="AX73" i="23"/>
  <c r="AW73" i="23"/>
  <c r="AV73" i="23"/>
  <c r="AU73" i="23"/>
  <c r="AT73" i="23"/>
  <c r="AS73" i="23"/>
  <c r="AR73" i="23"/>
  <c r="AQ73" i="23"/>
  <c r="BB68" i="23"/>
  <c r="BB76" i="23" s="1"/>
  <c r="BA68" i="23"/>
  <c r="BA76" i="23" s="1"/>
  <c r="AZ68" i="23"/>
  <c r="AZ76" i="23" s="1"/>
  <c r="AY68" i="23"/>
  <c r="AY76" i="23" s="1"/>
  <c r="AX68" i="23"/>
  <c r="AX76" i="23" s="1"/>
  <c r="AW68" i="23"/>
  <c r="AW76" i="23" s="1"/>
  <c r="AV68" i="23"/>
  <c r="AV76" i="23" s="1"/>
  <c r="AU68" i="23"/>
  <c r="AU76" i="23" s="1"/>
  <c r="AT68" i="23"/>
  <c r="AT76" i="23" s="1"/>
  <c r="AS68" i="23"/>
  <c r="AS76" i="23" s="1"/>
  <c r="AR68" i="23"/>
  <c r="AR76" i="23" s="1"/>
  <c r="AQ68" i="23"/>
  <c r="AQ76" i="23" s="1"/>
  <c r="T5" i="9" l="1"/>
  <c r="V5" i="9" s="1"/>
  <c r="D9" i="16" s="1"/>
  <c r="AI5" i="9"/>
  <c r="AK5" i="9" s="1"/>
  <c r="D12" i="16" s="1"/>
  <c r="AD5" i="9"/>
  <c r="AF5" i="9" s="1"/>
  <c r="D11" i="16" s="1"/>
  <c r="Y7" i="9"/>
  <c r="AA7" i="9" s="1"/>
  <c r="F10" i="16" s="1"/>
  <c r="AD7" i="9"/>
  <c r="AF7" i="9" s="1"/>
  <c r="F11" i="16" s="1"/>
  <c r="AD8" i="9"/>
  <c r="AF8" i="9" s="1"/>
  <c r="G11" i="16" s="1"/>
  <c r="T8" i="9"/>
  <c r="V8" i="9" s="1"/>
  <c r="G9" i="16" s="1"/>
  <c r="T6" i="9"/>
  <c r="V6" i="9" s="1"/>
  <c r="E9" i="16" s="1"/>
  <c r="Y6" i="9"/>
  <c r="AA6" i="9" s="1"/>
  <c r="E10" i="16" s="1"/>
  <c r="AI7" i="9"/>
  <c r="AK7" i="9" s="1"/>
  <c r="F12" i="16" s="1"/>
  <c r="Y8" i="9"/>
  <c r="AA8" i="9" s="1"/>
  <c r="G10" i="16" s="1"/>
  <c r="AI6" i="9"/>
  <c r="AK6" i="9" s="1"/>
  <c r="E12" i="16" s="1"/>
  <c r="T7" i="9"/>
  <c r="V7" i="9" s="1"/>
  <c r="F9" i="16" s="1"/>
  <c r="AD6" i="9"/>
  <c r="AF6" i="9" s="1"/>
  <c r="E11" i="16" s="1"/>
  <c r="AO75" i="23" l="1"/>
  <c r="AN75" i="23"/>
  <c r="AM75" i="23"/>
  <c r="AL75" i="23"/>
  <c r="AK75" i="23"/>
  <c r="AJ75" i="23"/>
  <c r="AI75" i="23"/>
  <c r="AH75" i="23"/>
  <c r="AG75" i="23"/>
  <c r="AF75" i="23"/>
  <c r="AE75" i="23"/>
  <c r="AD75" i="23"/>
  <c r="AO74" i="23"/>
  <c r="AN74" i="23"/>
  <c r="AM74" i="23"/>
  <c r="AL74" i="23"/>
  <c r="AK74" i="23"/>
  <c r="AJ74" i="23"/>
  <c r="AI74" i="23"/>
  <c r="AH74" i="23"/>
  <c r="AG74" i="23"/>
  <c r="AF74" i="23"/>
  <c r="AE74" i="23"/>
  <c r="AD74" i="23"/>
  <c r="AO73" i="23"/>
  <c r="AN73" i="23"/>
  <c r="AM73" i="23"/>
  <c r="AL73" i="23"/>
  <c r="AK73" i="23"/>
  <c r="AJ73" i="23"/>
  <c r="AI73" i="23"/>
  <c r="AH73" i="23"/>
  <c r="AG73" i="23"/>
  <c r="AF73" i="23"/>
  <c r="AE73" i="23"/>
  <c r="AD73" i="23"/>
  <c r="AO68" i="23"/>
  <c r="AO76" i="23" s="1"/>
  <c r="AN68" i="23"/>
  <c r="AN76" i="23" s="1"/>
  <c r="AM68" i="23"/>
  <c r="AM76" i="23" s="1"/>
  <c r="AL68" i="23"/>
  <c r="AL76" i="23" s="1"/>
  <c r="AK68" i="23"/>
  <c r="AK76" i="23" s="1"/>
  <c r="AJ68" i="23"/>
  <c r="AJ76" i="23" s="1"/>
  <c r="AI68" i="23"/>
  <c r="AI76" i="23" s="1"/>
  <c r="AH68" i="23"/>
  <c r="AH76" i="23" s="1"/>
  <c r="AG68" i="23"/>
  <c r="AG76" i="23" s="1"/>
  <c r="AF68" i="23"/>
  <c r="AF76" i="23" s="1"/>
  <c r="AE68" i="23"/>
  <c r="AE76" i="23" s="1"/>
  <c r="AD68" i="23"/>
  <c r="AD76" i="23" s="1"/>
  <c r="AC78" i="23" l="1"/>
  <c r="BC58" i="23"/>
  <c r="BC78" i="23"/>
  <c r="BC59" i="23"/>
  <c r="AP78" i="23"/>
  <c r="AP59" i="23"/>
  <c r="AC59" i="23"/>
  <c r="W76" i="23"/>
  <c r="U76" i="23"/>
  <c r="AB75" i="23"/>
  <c r="AA75" i="23"/>
  <c r="Z75" i="23"/>
  <c r="Y75" i="23"/>
  <c r="X75" i="23"/>
  <c r="W75" i="23"/>
  <c r="V75" i="23"/>
  <c r="U75" i="23"/>
  <c r="T75" i="23"/>
  <c r="S75" i="23"/>
  <c r="R75" i="23"/>
  <c r="Q75" i="23"/>
  <c r="AB74" i="23"/>
  <c r="AA74" i="23"/>
  <c r="Z74" i="23"/>
  <c r="Y74" i="23"/>
  <c r="X74" i="23"/>
  <c r="W74" i="23"/>
  <c r="V74" i="23"/>
  <c r="U74" i="23"/>
  <c r="T74" i="23"/>
  <c r="S74" i="23"/>
  <c r="R74" i="23"/>
  <c r="Q74" i="23"/>
  <c r="AB73" i="23"/>
  <c r="AA73" i="23"/>
  <c r="Z73" i="23"/>
  <c r="Y73" i="23"/>
  <c r="X73" i="23"/>
  <c r="W73" i="23"/>
  <c r="V73" i="23"/>
  <c r="U73" i="23"/>
  <c r="T73" i="23"/>
  <c r="S73" i="23"/>
  <c r="R73" i="23"/>
  <c r="Q73" i="23"/>
  <c r="AB68" i="23"/>
  <c r="AB76" i="23" s="1"/>
  <c r="AA68" i="23"/>
  <c r="AA76" i="23" s="1"/>
  <c r="Z68" i="23"/>
  <c r="Z76" i="23" s="1"/>
  <c r="Y68" i="23"/>
  <c r="Y76" i="23" s="1"/>
  <c r="X68" i="23"/>
  <c r="X76" i="23" s="1"/>
  <c r="W68" i="23"/>
  <c r="V68" i="23"/>
  <c r="V76" i="23" s="1"/>
  <c r="U68" i="23"/>
  <c r="T68" i="23"/>
  <c r="T76" i="23" s="1"/>
  <c r="S68" i="23"/>
  <c r="S76" i="23" s="1"/>
  <c r="R68" i="23"/>
  <c r="R76" i="23" s="1"/>
  <c r="Q68" i="23"/>
  <c r="Q76" i="23" s="1"/>
  <c r="P78" i="23" l="1"/>
  <c r="P59" i="23"/>
  <c r="O75" i="23"/>
  <c r="N75" i="23"/>
  <c r="M75" i="23"/>
  <c r="L75" i="23"/>
  <c r="K75" i="23"/>
  <c r="J75" i="23"/>
  <c r="I75" i="23"/>
  <c r="H75" i="23"/>
  <c r="G75" i="23"/>
  <c r="F75" i="23"/>
  <c r="E75" i="23"/>
  <c r="D75" i="23"/>
  <c r="O74" i="23"/>
  <c r="N74" i="23"/>
  <c r="M74" i="23"/>
  <c r="L74" i="23"/>
  <c r="K74" i="23"/>
  <c r="J74" i="23"/>
  <c r="I74" i="23"/>
  <c r="H74" i="23"/>
  <c r="G74" i="23"/>
  <c r="F74" i="23"/>
  <c r="E74" i="23"/>
  <c r="D74" i="23"/>
  <c r="O73" i="23"/>
  <c r="N73" i="23"/>
  <c r="M73" i="23"/>
  <c r="L73" i="23"/>
  <c r="K73" i="23"/>
  <c r="J73" i="23"/>
  <c r="I73" i="23"/>
  <c r="H73" i="23"/>
  <c r="G73" i="23"/>
  <c r="F73" i="23"/>
  <c r="E73" i="23"/>
  <c r="D73" i="23"/>
  <c r="O68" i="23"/>
  <c r="O76" i="23" s="1"/>
  <c r="N68" i="23"/>
  <c r="N76" i="23" s="1"/>
  <c r="M68" i="23"/>
  <c r="M76" i="23" s="1"/>
  <c r="L68" i="23"/>
  <c r="L76" i="23" s="1"/>
  <c r="K68" i="23"/>
  <c r="K76" i="23" s="1"/>
  <c r="J68" i="23"/>
  <c r="J76" i="23" s="1"/>
  <c r="I68" i="23"/>
  <c r="I76" i="23" s="1"/>
  <c r="H68" i="23"/>
  <c r="H76" i="23" s="1"/>
  <c r="G68" i="23"/>
  <c r="G76" i="23" s="1"/>
  <c r="F68" i="23"/>
  <c r="F76" i="23" s="1"/>
  <c r="E68" i="23"/>
  <c r="E76" i="23" s="1"/>
  <c r="D68" i="23"/>
  <c r="D76" i="23" s="1"/>
  <c r="BC77" i="23" l="1"/>
  <c r="AP77" i="23"/>
  <c r="AC77" i="23"/>
  <c r="P77" i="23"/>
  <c r="BC67" i="23"/>
  <c r="AP67" i="23"/>
  <c r="AP71" i="23" s="1"/>
  <c r="AC67" i="23"/>
  <c r="AC71" i="23" s="1"/>
  <c r="P67" i="23"/>
  <c r="P71" i="23" s="1"/>
  <c r="BC66" i="23"/>
  <c r="BC75" i="23" s="1"/>
  <c r="AP66" i="23"/>
  <c r="AC66" i="23"/>
  <c r="AC75" i="23" s="1"/>
  <c r="P66" i="23"/>
  <c r="BC65" i="23"/>
  <c r="AP65" i="23"/>
  <c r="AC65" i="23"/>
  <c r="P65" i="23"/>
  <c r="BC64" i="23"/>
  <c r="AP64" i="23"/>
  <c r="AP69" i="23" s="1"/>
  <c r="AC64" i="23"/>
  <c r="AC69" i="23" s="1"/>
  <c r="P64" i="23"/>
  <c r="P69" i="23" s="1"/>
  <c r="BC63" i="23"/>
  <c r="AP63" i="23"/>
  <c r="AC63" i="23"/>
  <c r="P63" i="23"/>
  <c r="G17" i="10"/>
  <c r="H17" i="10"/>
  <c r="I17" i="10"/>
  <c r="J17" i="10"/>
  <c r="K17" i="10"/>
  <c r="L17" i="10"/>
  <c r="M17" i="10"/>
  <c r="N17" i="10"/>
  <c r="P17" i="10"/>
  <c r="Q17" i="10"/>
  <c r="R17" i="10"/>
  <c r="S17" i="10"/>
  <c r="T17" i="10"/>
  <c r="V17" i="10"/>
  <c r="W17" i="10"/>
  <c r="X17" i="10"/>
  <c r="Y17" i="10"/>
  <c r="Z17" i="10"/>
  <c r="AC17" i="10"/>
  <c r="AD17" i="10"/>
  <c r="AE17" i="10"/>
  <c r="AF17" i="10"/>
  <c r="AH17" i="10"/>
  <c r="AI17" i="10"/>
  <c r="AJ17" i="10"/>
  <c r="AK17" i="10"/>
  <c r="AL17" i="10"/>
  <c r="AO17" i="10"/>
  <c r="AP17" i="10"/>
  <c r="AQ17" i="10"/>
  <c r="AR17" i="10"/>
  <c r="AT17" i="10"/>
  <c r="AU17" i="10"/>
  <c r="AV17" i="10"/>
  <c r="AW17" i="10"/>
  <c r="AX17" i="10"/>
  <c r="BA17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F18" i="10"/>
  <c r="F17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AS15" i="10"/>
  <c r="AT15" i="10"/>
  <c r="AU15" i="10"/>
  <c r="AV15" i="10"/>
  <c r="AW15" i="10"/>
  <c r="AX15" i="10"/>
  <c r="AY15" i="10"/>
  <c r="AZ15" i="10"/>
  <c r="BA15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F15" i="10"/>
  <c r="BA12" i="10"/>
  <c r="AC74" i="23" l="1"/>
  <c r="AA9" i="15"/>
  <c r="G74" i="13"/>
  <c r="D64" i="13"/>
  <c r="D52" i="13"/>
  <c r="D76" i="13"/>
  <c r="E64" i="13"/>
  <c r="E52" i="13"/>
  <c r="E76" i="13"/>
  <c r="F52" i="13"/>
  <c r="F76" i="13"/>
  <c r="F64" i="13"/>
  <c r="G52" i="13"/>
  <c r="G76" i="13"/>
  <c r="G64" i="13"/>
  <c r="E51" i="13"/>
  <c r="E63" i="13"/>
  <c r="E75" i="13"/>
  <c r="BA18" i="10"/>
  <c r="AH8" i="9"/>
  <c r="AP74" i="23"/>
  <c r="BC73" i="23"/>
  <c r="P75" i="23"/>
  <c r="BC74" i="23"/>
  <c r="P68" i="23" a="1"/>
  <c r="P68" i="23" s="1"/>
  <c r="P76" i="23" s="1"/>
  <c r="P72" i="23"/>
  <c r="BC71" i="23"/>
  <c r="AP75" i="23"/>
  <c r="P74" i="23"/>
  <c r="AC72" i="23"/>
  <c r="P70" i="23"/>
  <c r="AP72" i="23"/>
  <c r="AC70" i="23"/>
  <c r="BC72" i="23"/>
  <c r="AP70" i="23"/>
  <c r="AC68" i="23"/>
  <c r="AC76" i="23" s="1"/>
  <c r="BC70" i="23"/>
  <c r="P73" i="23"/>
  <c r="AP68" i="23"/>
  <c r="AP76" i="23" s="1"/>
  <c r="AC73" i="23"/>
  <c r="BC68" i="23"/>
  <c r="AP73" i="23"/>
  <c r="BC69" i="23"/>
  <c r="AX13" i="10"/>
  <c r="AW13" i="10"/>
  <c r="AV13" i="10"/>
  <c r="AU13" i="10"/>
  <c r="AT13" i="10"/>
  <c r="AR13" i="10"/>
  <c r="AQ13" i="10"/>
  <c r="AP13" i="10"/>
  <c r="AL13" i="10"/>
  <c r="AK13" i="10"/>
  <c r="AJ13" i="10"/>
  <c r="AI13" i="10"/>
  <c r="AH13" i="10"/>
  <c r="AF13" i="10"/>
  <c r="AE13" i="10"/>
  <c r="AD13" i="10"/>
  <c r="Z13" i="10"/>
  <c r="Y13" i="10"/>
  <c r="X13" i="10"/>
  <c r="W13" i="10"/>
  <c r="V13" i="10"/>
  <c r="T13" i="10"/>
  <c r="S13" i="10"/>
  <c r="BA13" i="10"/>
  <c r="AO13" i="10"/>
  <c r="AC13" i="10"/>
  <c r="Q13" i="10"/>
  <c r="J13" i="10"/>
  <c r="K13" i="10"/>
  <c r="L13" i="10"/>
  <c r="M13" i="10"/>
  <c r="N13" i="10"/>
  <c r="P13" i="10"/>
  <c r="Q16" i="15"/>
  <c r="Q15" i="15"/>
  <c r="Q14" i="15"/>
  <c r="Q13" i="15"/>
  <c r="Q12" i="15"/>
  <c r="Q11" i="15"/>
  <c r="Q10" i="15"/>
  <c r="Q9" i="15"/>
  <c r="Q8" i="15"/>
  <c r="Q7" i="15"/>
  <c r="Q6" i="15"/>
  <c r="G40" i="13"/>
  <c r="BC48" i="23"/>
  <c r="BC47" i="23"/>
  <c r="BC46" i="23"/>
  <c r="BC45" i="23"/>
  <c r="BC50" i="23" s="1"/>
  <c r="BC44" i="23"/>
  <c r="AP58" i="23"/>
  <c r="F40" i="13" s="1"/>
  <c r="AO56" i="23"/>
  <c r="AN56" i="23"/>
  <c r="AM56" i="23"/>
  <c r="AL56" i="23"/>
  <c r="AK56" i="23"/>
  <c r="AJ56" i="23"/>
  <c r="AI56" i="23"/>
  <c r="AH56" i="23"/>
  <c r="AG56" i="23"/>
  <c r="AF56" i="23"/>
  <c r="AE56" i="23"/>
  <c r="AD56" i="23"/>
  <c r="AO55" i="23"/>
  <c r="AN55" i="23"/>
  <c r="AM55" i="23"/>
  <c r="AL55" i="23"/>
  <c r="AK55" i="23"/>
  <c r="AJ55" i="23"/>
  <c r="AI55" i="23"/>
  <c r="AH55" i="23"/>
  <c r="AG55" i="23"/>
  <c r="AF55" i="23"/>
  <c r="AE55" i="23"/>
  <c r="AD55" i="23"/>
  <c r="AO54" i="23"/>
  <c r="AN54" i="23"/>
  <c r="AM54" i="23"/>
  <c r="AL54" i="23"/>
  <c r="AK54" i="23"/>
  <c r="AJ54" i="23"/>
  <c r="AI54" i="23"/>
  <c r="AH54" i="23"/>
  <c r="AG54" i="23"/>
  <c r="AF54" i="23"/>
  <c r="AE54" i="23"/>
  <c r="AD54" i="23"/>
  <c r="AO49" i="23"/>
  <c r="AO57" i="23" s="1"/>
  <c r="AN49" i="23"/>
  <c r="AN57" i="23" s="1"/>
  <c r="AM49" i="23"/>
  <c r="AM57" i="23" s="1"/>
  <c r="AL49" i="23"/>
  <c r="AL57" i="23" s="1"/>
  <c r="AK49" i="23"/>
  <c r="AK57" i="23" s="1"/>
  <c r="AJ49" i="23"/>
  <c r="AJ57" i="23" s="1"/>
  <c r="AI49" i="23"/>
  <c r="AI57" i="23" s="1"/>
  <c r="AH49" i="23"/>
  <c r="AH57" i="23" s="1"/>
  <c r="AG49" i="23"/>
  <c r="AG57" i="23" s="1"/>
  <c r="AF49" i="23"/>
  <c r="AF57" i="23" s="1"/>
  <c r="AE49" i="23"/>
  <c r="AE57" i="23" s="1"/>
  <c r="AD49" i="23"/>
  <c r="AD57" i="23" s="1"/>
  <c r="AP48" i="23"/>
  <c r="AP52" i="23" s="1"/>
  <c r="AP47" i="23"/>
  <c r="AP46" i="23"/>
  <c r="AP45" i="23"/>
  <c r="AP50" i="23" s="1"/>
  <c r="AP44" i="23"/>
  <c r="AC58" i="23"/>
  <c r="E40" i="13" s="1"/>
  <c r="AB56" i="23"/>
  <c r="AA56" i="23"/>
  <c r="Z56" i="23"/>
  <c r="Y56" i="23"/>
  <c r="X56" i="23"/>
  <c r="W56" i="23"/>
  <c r="V56" i="23"/>
  <c r="U56" i="23"/>
  <c r="T56" i="23"/>
  <c r="S56" i="23"/>
  <c r="R56" i="23"/>
  <c r="Q56" i="23"/>
  <c r="AB55" i="23"/>
  <c r="AA55" i="23"/>
  <c r="Z55" i="23"/>
  <c r="Y55" i="23"/>
  <c r="X55" i="23"/>
  <c r="W55" i="23"/>
  <c r="V55" i="23"/>
  <c r="U55" i="23"/>
  <c r="T55" i="23"/>
  <c r="S55" i="23"/>
  <c r="R55" i="23"/>
  <c r="Q55" i="23"/>
  <c r="AB54" i="23"/>
  <c r="AA54" i="23"/>
  <c r="Z54" i="23"/>
  <c r="Y54" i="23"/>
  <c r="X54" i="23"/>
  <c r="W54" i="23"/>
  <c r="V54" i="23"/>
  <c r="U54" i="23"/>
  <c r="T54" i="23"/>
  <c r="S54" i="23"/>
  <c r="R54" i="23"/>
  <c r="Q54" i="23"/>
  <c r="AB49" i="23"/>
  <c r="AB57" i="23" s="1"/>
  <c r="AA49" i="23"/>
  <c r="AA57" i="23" s="1"/>
  <c r="Z49" i="23"/>
  <c r="Z57" i="23" s="1"/>
  <c r="Y49" i="23"/>
  <c r="Y57" i="23" s="1"/>
  <c r="X49" i="23"/>
  <c r="X57" i="23" s="1"/>
  <c r="W49" i="23"/>
  <c r="W57" i="23" s="1"/>
  <c r="V49" i="23"/>
  <c r="V57" i="23" s="1"/>
  <c r="U49" i="23"/>
  <c r="U57" i="23" s="1"/>
  <c r="T49" i="23"/>
  <c r="T57" i="23" s="1"/>
  <c r="S49" i="23"/>
  <c r="S57" i="23" s="1"/>
  <c r="R49" i="23"/>
  <c r="R57" i="23" s="1"/>
  <c r="Q49" i="23"/>
  <c r="AC48" i="23"/>
  <c r="AC47" i="23"/>
  <c r="AC56" i="23" s="1"/>
  <c r="AC46" i="23"/>
  <c r="AC45" i="23"/>
  <c r="AC50" i="23" s="1"/>
  <c r="AC44" i="23"/>
  <c r="P58" i="23"/>
  <c r="D40" i="13" s="1"/>
  <c r="O56" i="23"/>
  <c r="N56" i="23"/>
  <c r="M56" i="23"/>
  <c r="L56" i="23"/>
  <c r="K56" i="23"/>
  <c r="J56" i="23"/>
  <c r="I56" i="23"/>
  <c r="H56" i="23"/>
  <c r="G56" i="23"/>
  <c r="F56" i="23"/>
  <c r="E56" i="23"/>
  <c r="D56" i="23"/>
  <c r="O55" i="23"/>
  <c r="N55" i="23"/>
  <c r="M55" i="23"/>
  <c r="L55" i="23"/>
  <c r="K55" i="23"/>
  <c r="J55" i="23"/>
  <c r="I55" i="23"/>
  <c r="H55" i="23"/>
  <c r="G55" i="23"/>
  <c r="F55" i="23"/>
  <c r="E55" i="23"/>
  <c r="D55" i="23"/>
  <c r="O54" i="23"/>
  <c r="N54" i="23"/>
  <c r="M54" i="23"/>
  <c r="L54" i="23"/>
  <c r="K54" i="23"/>
  <c r="J54" i="23"/>
  <c r="I54" i="23"/>
  <c r="H54" i="23"/>
  <c r="G54" i="23"/>
  <c r="F54" i="23"/>
  <c r="E54" i="23"/>
  <c r="D54" i="23"/>
  <c r="O49" i="23"/>
  <c r="O57" i="23" s="1"/>
  <c r="N49" i="23"/>
  <c r="N57" i="23" s="1"/>
  <c r="M49" i="23"/>
  <c r="M57" i="23" s="1"/>
  <c r="L49" i="23"/>
  <c r="L57" i="23" s="1"/>
  <c r="K49" i="23"/>
  <c r="K57" i="23" s="1"/>
  <c r="J49" i="23"/>
  <c r="J57" i="23" s="1"/>
  <c r="I49" i="23"/>
  <c r="I57" i="23" s="1"/>
  <c r="H49" i="23"/>
  <c r="H57" i="23" s="1"/>
  <c r="G49" i="23"/>
  <c r="G57" i="23" s="1"/>
  <c r="F49" i="23"/>
  <c r="F57" i="23" s="1"/>
  <c r="E49" i="23"/>
  <c r="E57" i="23" s="1"/>
  <c r="D49" i="23"/>
  <c r="D57" i="23" s="1"/>
  <c r="P48" i="23"/>
  <c r="P52" i="23" s="1"/>
  <c r="P47" i="23"/>
  <c r="P46" i="23"/>
  <c r="P45" i="23"/>
  <c r="P50" i="23" s="1"/>
  <c r="P44" i="23"/>
  <c r="P51" i="23" l="1"/>
  <c r="BC76" i="23"/>
  <c r="P56" i="23"/>
  <c r="AP56" i="23"/>
  <c r="AC51" i="23"/>
  <c r="G51" i="13"/>
  <c r="G63" i="13"/>
  <c r="G75" i="13"/>
  <c r="AC55" i="23"/>
  <c r="F51" i="13"/>
  <c r="F63" i="13"/>
  <c r="F75" i="13"/>
  <c r="AP51" i="23"/>
  <c r="E79" i="13"/>
  <c r="E77" i="13"/>
  <c r="E78" i="13"/>
  <c r="D63" i="13"/>
  <c r="D51" i="13"/>
  <c r="D75" i="13"/>
  <c r="E65" i="13"/>
  <c r="E67" i="13"/>
  <c r="E66" i="13"/>
  <c r="E53" i="13"/>
  <c r="E55" i="13"/>
  <c r="E54" i="13"/>
  <c r="AI8" i="9"/>
  <c r="AK8" i="9" s="1"/>
  <c r="G12" i="16" s="1"/>
  <c r="AI9" i="9"/>
  <c r="AI14" i="9"/>
  <c r="AK14" i="9" s="1"/>
  <c r="M12" i="16" s="1"/>
  <c r="T12" i="9"/>
  <c r="V12" i="9" s="1"/>
  <c r="K9" i="16" s="1"/>
  <c r="T11" i="9"/>
  <c r="V11" i="9" s="1"/>
  <c r="J9" i="16" s="1"/>
  <c r="Y10" i="9"/>
  <c r="AA10" i="9" s="1"/>
  <c r="I10" i="16" s="1"/>
  <c r="Y9" i="9"/>
  <c r="AA9" i="9" s="1"/>
  <c r="H10" i="16" s="1"/>
  <c r="T9" i="9"/>
  <c r="V9" i="9" s="1"/>
  <c r="H9" i="16" s="1"/>
  <c r="T15" i="9"/>
  <c r="V15" i="9" s="1"/>
  <c r="N9" i="16" s="1"/>
  <c r="Y14" i="9"/>
  <c r="AA14" i="9" s="1"/>
  <c r="M10" i="16" s="1"/>
  <c r="T10" i="9"/>
  <c r="V10" i="9" s="1"/>
  <c r="I9" i="16" s="1"/>
  <c r="AD10" i="9"/>
  <c r="AF10" i="9" s="1"/>
  <c r="I11" i="16" s="1"/>
  <c r="AD13" i="9"/>
  <c r="AF13" i="9" s="1"/>
  <c r="L11" i="16" s="1"/>
  <c r="Y13" i="9"/>
  <c r="AA13" i="9" s="1"/>
  <c r="L10" i="16" s="1"/>
  <c r="AD9" i="9"/>
  <c r="AF9" i="9" s="1"/>
  <c r="H11" i="16" s="1"/>
  <c r="AI15" i="9"/>
  <c r="AK15" i="9" s="1"/>
  <c r="N12" i="16" s="1"/>
  <c r="AI11" i="9"/>
  <c r="AK11" i="9" s="1"/>
  <c r="J12" i="16" s="1"/>
  <c r="AD15" i="9"/>
  <c r="AF15" i="9" s="1"/>
  <c r="N11" i="16" s="1"/>
  <c r="AD11" i="9"/>
  <c r="AF11" i="9" s="1"/>
  <c r="J11" i="16" s="1"/>
  <c r="Y15" i="9"/>
  <c r="AA15" i="9" s="1"/>
  <c r="N10" i="16" s="1"/>
  <c r="Y11" i="9"/>
  <c r="AA11" i="9" s="1"/>
  <c r="J10" i="16" s="1"/>
  <c r="AD14" i="9"/>
  <c r="AF14" i="9" s="1"/>
  <c r="M11" i="16" s="1"/>
  <c r="AI10" i="9"/>
  <c r="AK10" i="9" s="1"/>
  <c r="I12" i="16" s="1"/>
  <c r="T14" i="9"/>
  <c r="V14" i="9" s="1"/>
  <c r="M9" i="16" s="1"/>
  <c r="AI13" i="9"/>
  <c r="AK13" i="9" s="1"/>
  <c r="L12" i="16" s="1"/>
  <c r="T13" i="9"/>
  <c r="V13" i="9" s="1"/>
  <c r="L9" i="16" s="1"/>
  <c r="AI12" i="9"/>
  <c r="AK12" i="9" s="1"/>
  <c r="K12" i="16" s="1"/>
  <c r="AD12" i="9"/>
  <c r="AF12" i="9" s="1"/>
  <c r="K11" i="16" s="1"/>
  <c r="Y12" i="9"/>
  <c r="AA12" i="9" s="1"/>
  <c r="K10" i="16" s="1"/>
  <c r="BC51" i="23"/>
  <c r="BC56" i="23"/>
  <c r="AC54" i="23"/>
  <c r="AC49" i="23"/>
  <c r="BC54" i="23"/>
  <c r="P49" i="23" a="1"/>
  <c r="P49" i="23" s="1"/>
  <c r="P57" i="23" s="1"/>
  <c r="BC49" i="23"/>
  <c r="BC52" i="23"/>
  <c r="BC53" i="23"/>
  <c r="BC55" i="23"/>
  <c r="AP53" i="23"/>
  <c r="AP49" i="23"/>
  <c r="AP57" i="23" s="1"/>
  <c r="AP55" i="23"/>
  <c r="AP54" i="23"/>
  <c r="AC52" i="23"/>
  <c r="AC53" i="23"/>
  <c r="Q57" i="23"/>
  <c r="P54" i="23"/>
  <c r="P55" i="23"/>
  <c r="P53" i="23"/>
  <c r="AK9" i="9" l="1"/>
  <c r="H12" i="16" s="1"/>
  <c r="E80" i="13"/>
  <c r="E81" i="13" s="1"/>
  <c r="AB7" i="15" s="1"/>
  <c r="F77" i="13"/>
  <c r="F79" i="13"/>
  <c r="F78" i="13"/>
  <c r="F80" i="13" s="1"/>
  <c r="F81" i="13" s="1"/>
  <c r="AB8" i="15" s="1"/>
  <c r="AD8" i="15" s="1"/>
  <c r="F20" i="16" s="1"/>
  <c r="F29" i="16" s="1"/>
  <c r="F65" i="13"/>
  <c r="F67" i="13"/>
  <c r="F66" i="13"/>
  <c r="F53" i="13"/>
  <c r="F54" i="13"/>
  <c r="F55" i="13"/>
  <c r="E68" i="13"/>
  <c r="E69" i="13" s="1"/>
  <c r="X7" i="15" s="1"/>
  <c r="G77" i="13"/>
  <c r="G79" i="13"/>
  <c r="G78" i="13"/>
  <c r="BC57" i="23"/>
  <c r="D78" i="13"/>
  <c r="D79" i="13"/>
  <c r="D77" i="13"/>
  <c r="G65" i="13"/>
  <c r="G66" i="13"/>
  <c r="G67" i="13"/>
  <c r="D53" i="13"/>
  <c r="D55" i="13"/>
  <c r="D54" i="13"/>
  <c r="G53" i="13"/>
  <c r="G55" i="13"/>
  <c r="G54" i="13"/>
  <c r="D67" i="13"/>
  <c r="D65" i="13"/>
  <c r="D66" i="13"/>
  <c r="AC57" i="23"/>
  <c r="AZ17" i="10"/>
  <c r="AY17" i="10"/>
  <c r="AN17" i="10"/>
  <c r="AM17" i="10"/>
  <c r="AB17" i="10"/>
  <c r="AA17" i="10"/>
  <c r="P15" i="9"/>
  <c r="P14" i="9"/>
  <c r="P13" i="9"/>
  <c r="P12" i="9"/>
  <c r="P11" i="9"/>
  <c r="P10" i="9"/>
  <c r="P8" i="9"/>
  <c r="P7" i="9"/>
  <c r="P6" i="9"/>
  <c r="P5" i="9"/>
  <c r="H15" i="9"/>
  <c r="C15" i="9"/>
  <c r="I5" i="9"/>
  <c r="C6" i="15"/>
  <c r="D5" i="9"/>
  <c r="O37" i="23"/>
  <c r="N37" i="23"/>
  <c r="M37" i="23"/>
  <c r="L37" i="23"/>
  <c r="K37" i="23"/>
  <c r="J37" i="23"/>
  <c r="I37" i="23"/>
  <c r="H37" i="23"/>
  <c r="G37" i="23"/>
  <c r="F37" i="23"/>
  <c r="E37" i="23"/>
  <c r="D37" i="23"/>
  <c r="O36" i="23"/>
  <c r="N36" i="23"/>
  <c r="M36" i="23"/>
  <c r="L36" i="23"/>
  <c r="K36" i="23"/>
  <c r="J36" i="23"/>
  <c r="I36" i="23"/>
  <c r="H36" i="23"/>
  <c r="G36" i="23"/>
  <c r="F36" i="23"/>
  <c r="E36" i="23"/>
  <c r="D36" i="23"/>
  <c r="O35" i="23"/>
  <c r="N35" i="23"/>
  <c r="M35" i="23"/>
  <c r="L35" i="23"/>
  <c r="K35" i="23"/>
  <c r="J35" i="23"/>
  <c r="I35" i="23"/>
  <c r="H35" i="23"/>
  <c r="G35" i="23"/>
  <c r="F35" i="23"/>
  <c r="E35" i="23"/>
  <c r="D35" i="23"/>
  <c r="O30" i="23"/>
  <c r="O38" i="23" s="1"/>
  <c r="N30" i="23"/>
  <c r="N38" i="23" s="1"/>
  <c r="M30" i="23"/>
  <c r="M38" i="23" s="1"/>
  <c r="L30" i="23"/>
  <c r="L38" i="23" s="1"/>
  <c r="K30" i="23"/>
  <c r="K38" i="23" s="1"/>
  <c r="J30" i="23"/>
  <c r="J38" i="23" s="1"/>
  <c r="I30" i="23"/>
  <c r="I38" i="23" s="1"/>
  <c r="H30" i="23"/>
  <c r="H38" i="23" s="1"/>
  <c r="G30" i="23"/>
  <c r="G38" i="23" s="1"/>
  <c r="F30" i="23"/>
  <c r="F38" i="23" s="1"/>
  <c r="E30" i="23"/>
  <c r="E38" i="23" s="1"/>
  <c r="D30" i="23"/>
  <c r="D38" i="23" s="1"/>
  <c r="O18" i="23"/>
  <c r="N18" i="23"/>
  <c r="M18" i="23"/>
  <c r="L18" i="23"/>
  <c r="K18" i="23"/>
  <c r="J18" i="23"/>
  <c r="I18" i="23"/>
  <c r="H18" i="23"/>
  <c r="G18" i="23"/>
  <c r="F18" i="23"/>
  <c r="E18" i="23"/>
  <c r="D18" i="23"/>
  <c r="O17" i="23"/>
  <c r="N17" i="23"/>
  <c r="M17" i="23"/>
  <c r="L17" i="23"/>
  <c r="K17" i="23"/>
  <c r="J17" i="23"/>
  <c r="I17" i="23"/>
  <c r="H17" i="23"/>
  <c r="G17" i="23"/>
  <c r="F17" i="23"/>
  <c r="E17" i="23"/>
  <c r="D17" i="23"/>
  <c r="O16" i="23"/>
  <c r="N16" i="23"/>
  <c r="M16" i="23"/>
  <c r="L16" i="23"/>
  <c r="K16" i="23"/>
  <c r="J16" i="23"/>
  <c r="I16" i="23"/>
  <c r="H16" i="23"/>
  <c r="G16" i="23"/>
  <c r="F16" i="23"/>
  <c r="E16" i="23"/>
  <c r="D16" i="23"/>
  <c r="O11" i="23"/>
  <c r="O19" i="23" s="1"/>
  <c r="N11" i="23"/>
  <c r="N19" i="23" s="1"/>
  <c r="M11" i="23"/>
  <c r="M19" i="23" s="1"/>
  <c r="L11" i="23"/>
  <c r="L19" i="23" s="1"/>
  <c r="K11" i="23"/>
  <c r="K19" i="23" s="1"/>
  <c r="J11" i="23"/>
  <c r="J19" i="23" s="1"/>
  <c r="I11" i="23"/>
  <c r="I19" i="23" s="1"/>
  <c r="H11" i="23"/>
  <c r="H19" i="23" s="1"/>
  <c r="G11" i="23"/>
  <c r="G19" i="23" s="1"/>
  <c r="F11" i="23"/>
  <c r="F19" i="23" s="1"/>
  <c r="E11" i="23"/>
  <c r="E19" i="23" s="1"/>
  <c r="D11" i="23"/>
  <c r="D80" i="13" l="1"/>
  <c r="D81" i="13" s="1"/>
  <c r="AB6" i="15" s="1"/>
  <c r="AD6" i="15" s="1"/>
  <c r="D20" i="16" s="1"/>
  <c r="D29" i="16" s="1"/>
  <c r="D19" i="23"/>
  <c r="P11" i="23"/>
  <c r="G80" i="13"/>
  <c r="G81" i="13" s="1"/>
  <c r="AB9" i="15" s="1"/>
  <c r="AD9" i="15" s="1"/>
  <c r="G20" i="16" s="1"/>
  <c r="G29" i="16" s="1"/>
  <c r="G56" i="13"/>
  <c r="G57" i="13" s="1"/>
  <c r="D56" i="13"/>
  <c r="D57" i="13" s="1"/>
  <c r="T6" i="15" s="1"/>
  <c r="V6" i="15" s="1"/>
  <c r="D17" i="16" s="1"/>
  <c r="D26" i="16" s="1"/>
  <c r="T9" i="15"/>
  <c r="V9" i="15" s="1"/>
  <c r="G17" i="16" s="1"/>
  <c r="G26" i="16" s="1"/>
  <c r="F68" i="13"/>
  <c r="F69" i="13" s="1"/>
  <c r="X8" i="15" s="1"/>
  <c r="Z8" i="15" s="1"/>
  <c r="F19" i="16" s="1"/>
  <c r="F28" i="16" s="1"/>
  <c r="AD7" i="15"/>
  <c r="E20" i="16" s="1"/>
  <c r="E29" i="16" s="1"/>
  <c r="AB10" i="15"/>
  <c r="AD10" i="15" s="1"/>
  <c r="H20" i="16" s="1"/>
  <c r="H29" i="16" s="1"/>
  <c r="AB16" i="15"/>
  <c r="AD16" i="15" s="1"/>
  <c r="N20" i="16" s="1"/>
  <c r="N29" i="16" s="1"/>
  <c r="AB14" i="15"/>
  <c r="AD14" i="15" s="1"/>
  <c r="L20" i="16" s="1"/>
  <c r="L29" i="16" s="1"/>
  <c r="AB13" i="15"/>
  <c r="AD13" i="15" s="1"/>
  <c r="K20" i="16" s="1"/>
  <c r="K29" i="16" s="1"/>
  <c r="D68" i="13"/>
  <c r="D69" i="13" s="1"/>
  <c r="X6" i="15" s="1"/>
  <c r="Z6" i="15" s="1"/>
  <c r="D19" i="16" s="1"/>
  <c r="D28" i="16" s="1"/>
  <c r="Z7" i="15"/>
  <c r="E19" i="16" s="1"/>
  <c r="E28" i="16" s="1"/>
  <c r="G68" i="13"/>
  <c r="G69" i="13" s="1"/>
  <c r="X9" i="15" s="1"/>
  <c r="Z9" i="15" s="1"/>
  <c r="G19" i="16" s="1"/>
  <c r="G28" i="16" s="1"/>
  <c r="F56" i="13"/>
  <c r="F57" i="13" s="1"/>
  <c r="E56" i="13"/>
  <c r="E57" i="13" s="1"/>
  <c r="AS13" i="10"/>
  <c r="AS17" i="10"/>
  <c r="G38" i="13" s="1"/>
  <c r="O13" i="10"/>
  <c r="O17" i="10"/>
  <c r="D38" i="13" s="1"/>
  <c r="U13" i="10"/>
  <c r="U17" i="10"/>
  <c r="E38" i="13" s="1"/>
  <c r="AG13" i="10"/>
  <c r="AG17" i="10"/>
  <c r="AZ13" i="10"/>
  <c r="AA13" i="10"/>
  <c r="AB13" i="10"/>
  <c r="AY13" i="10"/>
  <c r="AM13" i="10"/>
  <c r="AN13" i="10"/>
  <c r="N8" i="9"/>
  <c r="O8" i="9" s="1"/>
  <c r="Q8" i="9" s="1"/>
  <c r="G8" i="16" s="1"/>
  <c r="O9" i="15"/>
  <c r="N5" i="9"/>
  <c r="O6" i="15"/>
  <c r="N6" i="9"/>
  <c r="O6" i="9" s="1"/>
  <c r="Q6" i="9" s="1"/>
  <c r="E8" i="16" s="1"/>
  <c r="O7" i="15"/>
  <c r="N7" i="9"/>
  <c r="O7" i="9" s="1"/>
  <c r="Q7" i="9" s="1"/>
  <c r="F8" i="16" s="1"/>
  <c r="O8" i="15"/>
  <c r="G5" i="13"/>
  <c r="F5" i="13"/>
  <c r="AB37" i="23"/>
  <c r="AA37" i="23"/>
  <c r="Z37" i="23"/>
  <c r="Y37" i="23"/>
  <c r="X37" i="23"/>
  <c r="W37" i="23"/>
  <c r="V37" i="23"/>
  <c r="U37" i="23"/>
  <c r="T37" i="23"/>
  <c r="S37" i="23"/>
  <c r="R37" i="23"/>
  <c r="Q37" i="23"/>
  <c r="AB36" i="23"/>
  <c r="AA36" i="23"/>
  <c r="Z36" i="23"/>
  <c r="Y36" i="23"/>
  <c r="X36" i="23"/>
  <c r="W36" i="23"/>
  <c r="V36" i="23"/>
  <c r="U36" i="23"/>
  <c r="T36" i="23"/>
  <c r="S36" i="23"/>
  <c r="R36" i="23"/>
  <c r="Q36" i="23"/>
  <c r="AB35" i="23"/>
  <c r="AA35" i="23"/>
  <c r="Z35" i="23"/>
  <c r="Y35" i="23"/>
  <c r="X35" i="23"/>
  <c r="W35" i="23"/>
  <c r="V35" i="23"/>
  <c r="U35" i="23"/>
  <c r="T35" i="23"/>
  <c r="S35" i="23"/>
  <c r="R35" i="23"/>
  <c r="Q35" i="23"/>
  <c r="AB30" i="23"/>
  <c r="AB38" i="23" s="1"/>
  <c r="AA30" i="23"/>
  <c r="AA38" i="23" s="1"/>
  <c r="Z30" i="23"/>
  <c r="Z38" i="23" s="1"/>
  <c r="Y30" i="23"/>
  <c r="Y38" i="23" s="1"/>
  <c r="X30" i="23"/>
  <c r="X38" i="23" s="1"/>
  <c r="W30" i="23"/>
  <c r="W38" i="23" s="1"/>
  <c r="V30" i="23"/>
  <c r="V38" i="23" s="1"/>
  <c r="U30" i="23"/>
  <c r="U38" i="23" s="1"/>
  <c r="T30" i="23"/>
  <c r="T38" i="23" s="1"/>
  <c r="S30" i="23"/>
  <c r="S38" i="23" s="1"/>
  <c r="R30" i="23"/>
  <c r="R38" i="23" s="1"/>
  <c r="Q30" i="23"/>
  <c r="Q38" i="23" s="1"/>
  <c r="AB18" i="23"/>
  <c r="AA18" i="23"/>
  <c r="Z18" i="23"/>
  <c r="Y18" i="23"/>
  <c r="X18" i="23"/>
  <c r="W18" i="23"/>
  <c r="V18" i="23"/>
  <c r="U18" i="23"/>
  <c r="T18" i="23"/>
  <c r="S18" i="23"/>
  <c r="R18" i="23"/>
  <c r="Q18" i="23"/>
  <c r="AB17" i="23"/>
  <c r="AA17" i="23"/>
  <c r="Z17" i="23"/>
  <c r="Y17" i="23"/>
  <c r="X17" i="23"/>
  <c r="W17" i="23"/>
  <c r="V17" i="23"/>
  <c r="U17" i="23"/>
  <c r="T17" i="23"/>
  <c r="S17" i="23"/>
  <c r="R17" i="23"/>
  <c r="Q17" i="23"/>
  <c r="AB16" i="23"/>
  <c r="AA16" i="23"/>
  <c r="Z16" i="23"/>
  <c r="Y16" i="23"/>
  <c r="X16" i="23"/>
  <c r="W16" i="23"/>
  <c r="V16" i="23"/>
  <c r="U16" i="23"/>
  <c r="T16" i="23"/>
  <c r="S16" i="23"/>
  <c r="R16" i="23"/>
  <c r="Q16" i="23"/>
  <c r="AB11" i="23"/>
  <c r="AB19" i="23" s="1"/>
  <c r="AA11" i="23"/>
  <c r="AA19" i="23" s="1"/>
  <c r="Z11" i="23"/>
  <c r="Z19" i="23" s="1"/>
  <c r="Y11" i="23"/>
  <c r="Y19" i="23" s="1"/>
  <c r="X11" i="23"/>
  <c r="X19" i="23" s="1"/>
  <c r="W11" i="23"/>
  <c r="W19" i="23" s="1"/>
  <c r="V11" i="23"/>
  <c r="V19" i="23" s="1"/>
  <c r="U11" i="23"/>
  <c r="U19" i="23" s="1"/>
  <c r="T11" i="23"/>
  <c r="T19" i="23" s="1"/>
  <c r="S11" i="23"/>
  <c r="S19" i="23" s="1"/>
  <c r="R11" i="23"/>
  <c r="R19" i="23" s="1"/>
  <c r="Q11" i="23"/>
  <c r="Q19" i="23" s="1"/>
  <c r="AB12" i="15" l="1"/>
  <c r="AD12" i="15" s="1"/>
  <c r="J20" i="16" s="1"/>
  <c r="J29" i="16" s="1"/>
  <c r="AB11" i="15"/>
  <c r="AD11" i="15" s="1"/>
  <c r="I20" i="16" s="1"/>
  <c r="I29" i="16" s="1"/>
  <c r="AB15" i="15"/>
  <c r="AD15" i="15" s="1"/>
  <c r="M20" i="16" s="1"/>
  <c r="M29" i="16" s="1"/>
  <c r="X16" i="15"/>
  <c r="Z16" i="15" s="1"/>
  <c r="N19" i="16" s="1"/>
  <c r="N28" i="16" s="1"/>
  <c r="X10" i="15"/>
  <c r="Z10" i="15" s="1"/>
  <c r="H19" i="16" s="1"/>
  <c r="H28" i="16" s="1"/>
  <c r="X15" i="15"/>
  <c r="Z15" i="15" s="1"/>
  <c r="M19" i="16" s="1"/>
  <c r="M28" i="16" s="1"/>
  <c r="X14" i="15"/>
  <c r="Z14" i="15" s="1"/>
  <c r="L19" i="16" s="1"/>
  <c r="L28" i="16" s="1"/>
  <c r="X13" i="15"/>
  <c r="Z13" i="15" s="1"/>
  <c r="K19" i="16" s="1"/>
  <c r="K28" i="16" s="1"/>
  <c r="X12" i="15"/>
  <c r="Z12" i="15" s="1"/>
  <c r="J19" i="16" s="1"/>
  <c r="J28" i="16" s="1"/>
  <c r="X11" i="15"/>
  <c r="Z11" i="15" s="1"/>
  <c r="I19" i="16" s="1"/>
  <c r="I28" i="16" s="1"/>
  <c r="T8" i="15"/>
  <c r="V8" i="15" s="1"/>
  <c r="F17" i="16" s="1"/>
  <c r="F26" i="16" s="1"/>
  <c r="T7" i="15"/>
  <c r="V7" i="15" s="1"/>
  <c r="E17" i="16" s="1"/>
  <c r="E26" i="16" s="1"/>
  <c r="O5" i="9"/>
  <c r="Q5" i="9" s="1"/>
  <c r="D8" i="16" s="1"/>
  <c r="O12" i="9"/>
  <c r="Q12" i="9" s="1"/>
  <c r="K8" i="16" s="1"/>
  <c r="F38" i="13"/>
  <c r="F39" i="13" s="1"/>
  <c r="F41" i="13" s="1"/>
  <c r="G39" i="13"/>
  <c r="G41" i="13" s="1"/>
  <c r="D39" i="13"/>
  <c r="D41" i="13" s="1"/>
  <c r="E39" i="13"/>
  <c r="E41" i="13" s="1"/>
  <c r="O10" i="9"/>
  <c r="Q10" i="9" s="1"/>
  <c r="O14" i="9"/>
  <c r="Q14" i="9" s="1"/>
  <c r="M8" i="16" s="1"/>
  <c r="O9" i="9"/>
  <c r="Q9" i="9" s="1"/>
  <c r="H8" i="16" s="1"/>
  <c r="O15" i="9"/>
  <c r="Q15" i="9" s="1"/>
  <c r="N8" i="16" s="1"/>
  <c r="O11" i="9"/>
  <c r="Q11" i="9" s="1"/>
  <c r="O13" i="9"/>
  <c r="Q13" i="9" s="1"/>
  <c r="L8" i="16" s="1"/>
  <c r="AO37" i="23"/>
  <c r="AN37" i="23"/>
  <c r="AM37" i="23"/>
  <c r="AL37" i="23"/>
  <c r="AK37" i="23"/>
  <c r="AJ37" i="23"/>
  <c r="AI37" i="23"/>
  <c r="AH37" i="23"/>
  <c r="AG37" i="23"/>
  <c r="AF37" i="23"/>
  <c r="AE37" i="23"/>
  <c r="AD37" i="23"/>
  <c r="AO36" i="23"/>
  <c r="AN36" i="23"/>
  <c r="AM36" i="23"/>
  <c r="AL36" i="23"/>
  <c r="AK36" i="23"/>
  <c r="AJ36" i="23"/>
  <c r="AI36" i="23"/>
  <c r="AH36" i="23"/>
  <c r="AG36" i="23"/>
  <c r="AF36" i="23"/>
  <c r="AE36" i="23"/>
  <c r="AD36" i="23"/>
  <c r="AO35" i="23"/>
  <c r="AN35" i="23"/>
  <c r="AM35" i="23"/>
  <c r="AL35" i="23"/>
  <c r="AK35" i="23"/>
  <c r="AJ35" i="23"/>
  <c r="AI35" i="23"/>
  <c r="AH35" i="23"/>
  <c r="AG35" i="23"/>
  <c r="AF35" i="23"/>
  <c r="AE35" i="23"/>
  <c r="AD35" i="23"/>
  <c r="AO30" i="23"/>
  <c r="AO38" i="23" s="1"/>
  <c r="AN30" i="23"/>
  <c r="AN38" i="23" s="1"/>
  <c r="AM30" i="23"/>
  <c r="AM38" i="23" s="1"/>
  <c r="AL30" i="23"/>
  <c r="AL38" i="23" s="1"/>
  <c r="AK30" i="23"/>
  <c r="AK38" i="23" s="1"/>
  <c r="AJ30" i="23"/>
  <c r="AJ38" i="23" s="1"/>
  <c r="AI30" i="23"/>
  <c r="AI38" i="23" s="1"/>
  <c r="AH30" i="23"/>
  <c r="AH38" i="23" s="1"/>
  <c r="AG30" i="23"/>
  <c r="AG38" i="23" s="1"/>
  <c r="AF30" i="23"/>
  <c r="AF38" i="23" s="1"/>
  <c r="AE30" i="23"/>
  <c r="AE38" i="23" s="1"/>
  <c r="AD30" i="23"/>
  <c r="AD38" i="23" s="1"/>
  <c r="AO18" i="23"/>
  <c r="AN18" i="23"/>
  <c r="AM18" i="23"/>
  <c r="AL18" i="23"/>
  <c r="AK18" i="23"/>
  <c r="AJ18" i="23"/>
  <c r="AI18" i="23"/>
  <c r="AH18" i="23"/>
  <c r="AG18" i="23"/>
  <c r="AF18" i="23"/>
  <c r="AE18" i="23"/>
  <c r="AD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O16" i="23"/>
  <c r="AN16" i="23"/>
  <c r="AM16" i="23"/>
  <c r="AL16" i="23"/>
  <c r="AK16" i="23"/>
  <c r="AJ16" i="23"/>
  <c r="AI16" i="23"/>
  <c r="AH16" i="23"/>
  <c r="AG16" i="23"/>
  <c r="AF16" i="23"/>
  <c r="AE16" i="23"/>
  <c r="AD16" i="23"/>
  <c r="AO11" i="23"/>
  <c r="AO19" i="23" s="1"/>
  <c r="AN11" i="23"/>
  <c r="AN19" i="23" s="1"/>
  <c r="AM11" i="23"/>
  <c r="AM19" i="23" s="1"/>
  <c r="AL11" i="23"/>
  <c r="AL19" i="23" s="1"/>
  <c r="AK11" i="23"/>
  <c r="AK19" i="23" s="1"/>
  <c r="AJ11" i="23"/>
  <c r="AJ19" i="23" s="1"/>
  <c r="AI11" i="23"/>
  <c r="AI19" i="23" s="1"/>
  <c r="AH11" i="23"/>
  <c r="AH19" i="23" s="1"/>
  <c r="AG11" i="23"/>
  <c r="AG19" i="23" s="1"/>
  <c r="AF11" i="23"/>
  <c r="AF19" i="23" s="1"/>
  <c r="AE11" i="23"/>
  <c r="AE19" i="23" s="1"/>
  <c r="AD11" i="23"/>
  <c r="AD19" i="23" s="1"/>
  <c r="T14" i="15" l="1"/>
  <c r="T15" i="15"/>
  <c r="T16" i="15"/>
  <c r="T11" i="15"/>
  <c r="T10" i="15"/>
  <c r="T12" i="15"/>
  <c r="T13" i="15"/>
  <c r="I8" i="16"/>
  <c r="J8" i="16"/>
  <c r="E43" i="13"/>
  <c r="G42" i="13"/>
  <c r="E42" i="13"/>
  <c r="D42" i="13"/>
  <c r="D43" i="13"/>
  <c r="G43" i="13"/>
  <c r="F43" i="13"/>
  <c r="F42" i="13"/>
  <c r="P40" i="23"/>
  <c r="P39" i="23"/>
  <c r="P35" i="23"/>
  <c r="P34" i="23"/>
  <c r="P33" i="23"/>
  <c r="P32" i="23"/>
  <c r="P30" i="23"/>
  <c r="P29" i="23"/>
  <c r="P28" i="23"/>
  <c r="P27" i="23"/>
  <c r="P26" i="23"/>
  <c r="P31" i="23" s="1"/>
  <c r="P25" i="23"/>
  <c r="P21" i="23"/>
  <c r="P20" i="23"/>
  <c r="D7" i="13" s="1"/>
  <c r="P16" i="23"/>
  <c r="P15" i="23"/>
  <c r="P14" i="23"/>
  <c r="P13" i="23"/>
  <c r="P10" i="23"/>
  <c r="P9" i="23"/>
  <c r="P7" i="23"/>
  <c r="P12" i="23" s="1"/>
  <c r="P6" i="23"/>
  <c r="AC40" i="23"/>
  <c r="AC39" i="23"/>
  <c r="AC35" i="23"/>
  <c r="AC34" i="23"/>
  <c r="AC33" i="23"/>
  <c r="AC32" i="23"/>
  <c r="AC30" i="23"/>
  <c r="AC29" i="23"/>
  <c r="AC28" i="23"/>
  <c r="AC27" i="23"/>
  <c r="AC26" i="23"/>
  <c r="AC31" i="23" s="1"/>
  <c r="AC25" i="23"/>
  <c r="AC21" i="23"/>
  <c r="AC20" i="23"/>
  <c r="E7" i="13" s="1"/>
  <c r="AC16" i="23"/>
  <c r="AC15" i="23"/>
  <c r="AC14" i="23"/>
  <c r="AC13" i="23"/>
  <c r="AC11" i="23"/>
  <c r="AC10" i="23"/>
  <c r="AC9" i="23"/>
  <c r="AC8" i="23"/>
  <c r="AC7" i="23"/>
  <c r="AC12" i="23" s="1"/>
  <c r="AC6" i="23"/>
  <c r="AP40" i="23"/>
  <c r="AP39" i="23"/>
  <c r="AP35" i="23"/>
  <c r="AP34" i="23"/>
  <c r="AP33" i="23"/>
  <c r="AP32" i="23"/>
  <c r="AP30" i="23"/>
  <c r="AP29" i="23"/>
  <c r="AP28" i="23"/>
  <c r="AP27" i="23"/>
  <c r="AP26" i="23"/>
  <c r="AP31" i="23" s="1"/>
  <c r="AP25" i="23"/>
  <c r="AP21" i="23"/>
  <c r="AP20" i="23"/>
  <c r="F7" i="13" s="1"/>
  <c r="AP16" i="23"/>
  <c r="AP15" i="23"/>
  <c r="AP14" i="23"/>
  <c r="AP13" i="23"/>
  <c r="AP11" i="23"/>
  <c r="AP10" i="23"/>
  <c r="AP9" i="23"/>
  <c r="AP8" i="23"/>
  <c r="AP7" i="23"/>
  <c r="AP12" i="23" s="1"/>
  <c r="AP6" i="23"/>
  <c r="BC40" i="23"/>
  <c r="BC39" i="23"/>
  <c r="BC34" i="23"/>
  <c r="BC33" i="23"/>
  <c r="BC32" i="23"/>
  <c r="BC29" i="23"/>
  <c r="BC28" i="23"/>
  <c r="BC27" i="23"/>
  <c r="BC26" i="23"/>
  <c r="BC31" i="23" s="1"/>
  <c r="BC25" i="23"/>
  <c r="BC14" i="23"/>
  <c r="BC15" i="23"/>
  <c r="BC13" i="23"/>
  <c r="BC20" i="23"/>
  <c r="G7" i="13" s="1"/>
  <c r="BC21" i="23"/>
  <c r="BB11" i="23"/>
  <c r="BB19" i="23" s="1"/>
  <c r="BC7" i="23"/>
  <c r="BC12" i="23" s="1"/>
  <c r="BC8" i="23"/>
  <c r="BC9" i="23"/>
  <c r="BC10" i="23"/>
  <c r="BC6" i="23"/>
  <c r="BB37" i="23"/>
  <c r="BA37" i="23"/>
  <c r="AZ37" i="23"/>
  <c r="AY37" i="23"/>
  <c r="AX37" i="23"/>
  <c r="AW37" i="23"/>
  <c r="AV37" i="23"/>
  <c r="AU37" i="23"/>
  <c r="AT37" i="23"/>
  <c r="AS37" i="23"/>
  <c r="AR37" i="23"/>
  <c r="AQ37" i="23"/>
  <c r="BB36" i="23"/>
  <c r="BA36" i="23"/>
  <c r="AZ36" i="23"/>
  <c r="AY36" i="23"/>
  <c r="AX36" i="23"/>
  <c r="AW36" i="23"/>
  <c r="AV36" i="23"/>
  <c r="AU36" i="23"/>
  <c r="AT36" i="23"/>
  <c r="AS36" i="23"/>
  <c r="AR36" i="23"/>
  <c r="AQ36" i="23"/>
  <c r="BB35" i="23"/>
  <c r="BA35" i="23"/>
  <c r="AZ35" i="23"/>
  <c r="AY35" i="23"/>
  <c r="AX35" i="23"/>
  <c r="AW35" i="23"/>
  <c r="AV35" i="23"/>
  <c r="AU35" i="23"/>
  <c r="AT35" i="23"/>
  <c r="AS35" i="23"/>
  <c r="AR35" i="23"/>
  <c r="AQ35" i="23"/>
  <c r="BB30" i="23"/>
  <c r="BB38" i="23" s="1"/>
  <c r="BA30" i="23"/>
  <c r="BA38" i="23" s="1"/>
  <c r="AZ30" i="23"/>
  <c r="AZ38" i="23" s="1"/>
  <c r="AY30" i="23"/>
  <c r="AY38" i="23" s="1"/>
  <c r="AX30" i="23"/>
  <c r="AX38" i="23" s="1"/>
  <c r="AW30" i="23"/>
  <c r="AW38" i="23" s="1"/>
  <c r="AV30" i="23"/>
  <c r="AV38" i="23" s="1"/>
  <c r="AU30" i="23"/>
  <c r="AU38" i="23" s="1"/>
  <c r="AT30" i="23"/>
  <c r="AT38" i="23" s="1"/>
  <c r="AS30" i="23"/>
  <c r="AS38" i="23" s="1"/>
  <c r="AR30" i="23"/>
  <c r="AR38" i="23" s="1"/>
  <c r="AQ30" i="23"/>
  <c r="AQ38" i="23" s="1"/>
  <c r="BB18" i="23"/>
  <c r="BA18" i="23"/>
  <c r="AZ18" i="23"/>
  <c r="AY18" i="23"/>
  <c r="AX18" i="23"/>
  <c r="AW18" i="23"/>
  <c r="AV18" i="23"/>
  <c r="AU18" i="23"/>
  <c r="AT18" i="23"/>
  <c r="AS18" i="23"/>
  <c r="AR18" i="23"/>
  <c r="AQ18" i="23"/>
  <c r="BB17" i="23"/>
  <c r="BA17" i="23"/>
  <c r="AZ17" i="23"/>
  <c r="AY17" i="23"/>
  <c r="AX17" i="23"/>
  <c r="AW17" i="23"/>
  <c r="AV17" i="23"/>
  <c r="AU17" i="23"/>
  <c r="AT17" i="23"/>
  <c r="AS17" i="23"/>
  <c r="AR17" i="23"/>
  <c r="AQ17" i="23"/>
  <c r="BB16" i="23"/>
  <c r="BA16" i="23"/>
  <c r="AZ16" i="23"/>
  <c r="AY16" i="23"/>
  <c r="AX16" i="23"/>
  <c r="AW16" i="23"/>
  <c r="AV16" i="23"/>
  <c r="AU16" i="23"/>
  <c r="AT16" i="23"/>
  <c r="AS16" i="23"/>
  <c r="AR16" i="23"/>
  <c r="AQ16" i="23"/>
  <c r="BA11" i="23"/>
  <c r="BA19" i="23" s="1"/>
  <c r="AZ11" i="23"/>
  <c r="AZ19" i="23" s="1"/>
  <c r="AY11" i="23"/>
  <c r="AY19" i="23" s="1"/>
  <c r="AX11" i="23"/>
  <c r="AX19" i="23" s="1"/>
  <c r="AW11" i="23"/>
  <c r="AW19" i="23" s="1"/>
  <c r="AV11" i="23"/>
  <c r="AV19" i="23" s="1"/>
  <c r="AU11" i="23"/>
  <c r="AU19" i="23" s="1"/>
  <c r="AT11" i="23"/>
  <c r="AT19" i="23" s="1"/>
  <c r="AS11" i="23"/>
  <c r="AS19" i="23" s="1"/>
  <c r="AR11" i="23"/>
  <c r="AR19" i="23" s="1"/>
  <c r="AQ11" i="23"/>
  <c r="AQ19" i="23" s="1"/>
  <c r="D29" i="13" l="1"/>
  <c r="D18" i="13"/>
  <c r="G29" i="13"/>
  <c r="G18" i="13"/>
  <c r="F29" i="13"/>
  <c r="F18" i="13"/>
  <c r="E29" i="13"/>
  <c r="E18" i="13"/>
  <c r="G44" i="13"/>
  <c r="G45" i="13" s="1"/>
  <c r="P9" i="15" s="1"/>
  <c r="R9" i="15" s="1"/>
  <c r="G16" i="16" s="1"/>
  <c r="G25" i="16" s="1"/>
  <c r="P36" i="23"/>
  <c r="AC36" i="23"/>
  <c r="E44" i="13"/>
  <c r="E45" i="13" s="1"/>
  <c r="P7" i="15" s="1"/>
  <c r="D44" i="13"/>
  <c r="D45" i="13" s="1"/>
  <c r="P6" i="15" s="1"/>
  <c r="F44" i="13"/>
  <c r="F45" i="13" s="1"/>
  <c r="P8" i="15" s="1"/>
  <c r="R8" i="15" s="1"/>
  <c r="F16" i="16" s="1"/>
  <c r="F25" i="16" s="1"/>
  <c r="AP17" i="23"/>
  <c r="F6" i="13" s="1"/>
  <c r="AP36" i="23"/>
  <c r="AC17" i="23"/>
  <c r="E6" i="13" s="1"/>
  <c r="AC18" i="23"/>
  <c r="AC37" i="23"/>
  <c r="P18" i="23"/>
  <c r="P37" i="23"/>
  <c r="P38" i="23"/>
  <c r="P19" i="23"/>
  <c r="P17" i="23"/>
  <c r="D6" i="13" s="1"/>
  <c r="D9" i="13" s="1"/>
  <c r="AC38" i="23"/>
  <c r="AC19" i="23"/>
  <c r="AP37" i="23"/>
  <c r="AP38" i="23"/>
  <c r="AP18" i="23"/>
  <c r="AP19" i="23"/>
  <c r="BC35" i="23"/>
  <c r="BC18" i="23"/>
  <c r="BC36" i="23"/>
  <c r="BC16" i="23"/>
  <c r="BC17" i="23"/>
  <c r="G6" i="13" s="1"/>
  <c r="BC30" i="23"/>
  <c r="BC38" i="23" s="1"/>
  <c r="BC11" i="23"/>
  <c r="BC19" i="23" s="1"/>
  <c r="BC37" i="23"/>
  <c r="F17" i="13" l="1"/>
  <c r="F28" i="13"/>
  <c r="R7" i="15"/>
  <c r="E16" i="16" s="1"/>
  <c r="E25" i="16" s="1"/>
  <c r="P11" i="15"/>
  <c r="R11" i="15" s="1"/>
  <c r="I16" i="16" s="1"/>
  <c r="I25" i="16" s="1"/>
  <c r="P12" i="15"/>
  <c r="R12" i="15" s="1"/>
  <c r="J16" i="16" s="1"/>
  <c r="J25" i="16" s="1"/>
  <c r="P13" i="15"/>
  <c r="R13" i="15" s="1"/>
  <c r="K16" i="16" s="1"/>
  <c r="K25" i="16" s="1"/>
  <c r="P16" i="15"/>
  <c r="R16" i="15" s="1"/>
  <c r="N16" i="16" s="1"/>
  <c r="N25" i="16" s="1"/>
  <c r="P14" i="15"/>
  <c r="R14" i="15" s="1"/>
  <c r="L16" i="16" s="1"/>
  <c r="L25" i="16" s="1"/>
  <c r="P15" i="15"/>
  <c r="R15" i="15" s="1"/>
  <c r="M16" i="16" s="1"/>
  <c r="M25" i="16" s="1"/>
  <c r="P10" i="15"/>
  <c r="R10" i="15" s="1"/>
  <c r="H16" i="16" s="1"/>
  <c r="H25" i="16" s="1"/>
  <c r="E28" i="13"/>
  <c r="E17" i="13"/>
  <c r="D17" i="13"/>
  <c r="D28" i="13"/>
  <c r="G28" i="13"/>
  <c r="G17" i="13"/>
  <c r="R6" i="15"/>
  <c r="D16" i="16" s="1"/>
  <c r="D25" i="16" s="1"/>
  <c r="V11" i="15"/>
  <c r="I17" i="16" s="1"/>
  <c r="I26" i="16" s="1"/>
  <c r="V10" i="15"/>
  <c r="H17" i="16" s="1"/>
  <c r="H26" i="16" s="1"/>
  <c r="V15" i="15"/>
  <c r="M17" i="16" s="1"/>
  <c r="M26" i="16" s="1"/>
  <c r="V12" i="15"/>
  <c r="J17" i="16" s="1"/>
  <c r="J26" i="16" s="1"/>
  <c r="V13" i="15"/>
  <c r="K17" i="16" s="1"/>
  <c r="K26" i="16" s="1"/>
  <c r="V14" i="15"/>
  <c r="L17" i="16" s="1"/>
  <c r="L26" i="16" s="1"/>
  <c r="V16" i="15"/>
  <c r="N17" i="16" s="1"/>
  <c r="N26" i="16" s="1"/>
  <c r="G10" i="13"/>
  <c r="G9" i="13"/>
  <c r="G8" i="13"/>
  <c r="E10" i="13"/>
  <c r="E8" i="13"/>
  <c r="E9" i="13"/>
  <c r="F10" i="13"/>
  <c r="F9" i="13"/>
  <c r="F8" i="13"/>
  <c r="D8" i="13"/>
  <c r="D10" i="13"/>
  <c r="H6" i="9"/>
  <c r="H7" i="9"/>
  <c r="H8" i="9"/>
  <c r="H9" i="9"/>
  <c r="H10" i="9"/>
  <c r="H11" i="9"/>
  <c r="H12" i="9"/>
  <c r="H13" i="9"/>
  <c r="H14" i="9"/>
  <c r="H5" i="9"/>
  <c r="C10" i="9"/>
  <c r="C11" i="9"/>
  <c r="C12" i="9"/>
  <c r="C13" i="9"/>
  <c r="C14" i="9"/>
  <c r="C6" i="9"/>
  <c r="C7" i="9"/>
  <c r="C8" i="9"/>
  <c r="C5" i="9"/>
  <c r="E30" i="13" l="1"/>
  <c r="E31" i="13"/>
  <c r="E32" i="13"/>
  <c r="E19" i="13"/>
  <c r="E21" i="13"/>
  <c r="E20" i="13"/>
  <c r="G19" i="13"/>
  <c r="G20" i="13"/>
  <c r="G21" i="13"/>
  <c r="G30" i="13"/>
  <c r="G31" i="13"/>
  <c r="G32" i="13"/>
  <c r="D30" i="13"/>
  <c r="D31" i="13"/>
  <c r="D32" i="13"/>
  <c r="F30" i="13"/>
  <c r="F31" i="13"/>
  <c r="F32" i="13"/>
  <c r="D19" i="13"/>
  <c r="D20" i="13"/>
  <c r="D21" i="13"/>
  <c r="F21" i="13"/>
  <c r="F19" i="13"/>
  <c r="F20" i="13"/>
  <c r="F11" i="13"/>
  <c r="F12" i="13" s="1"/>
  <c r="D8" i="15" s="1"/>
  <c r="G11" i="13"/>
  <c r="G12" i="13" s="1"/>
  <c r="D9" i="15" s="1"/>
  <c r="E11" i="13"/>
  <c r="E12" i="13" s="1"/>
  <c r="D7" i="15" s="1"/>
  <c r="D11" i="13"/>
  <c r="D12" i="13" s="1"/>
  <c r="D6" i="15" s="1"/>
  <c r="I8" i="9"/>
  <c r="D8" i="9"/>
  <c r="D22" i="13" l="1"/>
  <c r="D23" i="13" s="1"/>
  <c r="H6" i="15" s="1"/>
  <c r="F22" i="13"/>
  <c r="F23" i="13" s="1"/>
  <c r="H8" i="15" s="1"/>
  <c r="E22" i="13"/>
  <c r="E23" i="13" s="1"/>
  <c r="H7" i="15" s="1"/>
  <c r="G22" i="13"/>
  <c r="G23" i="13" s="1"/>
  <c r="H9" i="15" s="1"/>
  <c r="H14" i="15" s="1"/>
  <c r="H11" i="15"/>
  <c r="H12" i="15"/>
  <c r="H13" i="15"/>
  <c r="H15" i="15"/>
  <c r="H16" i="15"/>
  <c r="G33" i="13"/>
  <c r="G34" i="13" s="1"/>
  <c r="L9" i="15" s="1"/>
  <c r="N9" i="15" s="1"/>
  <c r="G18" i="16" s="1"/>
  <c r="G27" i="16" s="1"/>
  <c r="D16" i="15"/>
  <c r="D15" i="15"/>
  <c r="D14" i="15"/>
  <c r="D13" i="15"/>
  <c r="D12" i="15"/>
  <c r="D11" i="15"/>
  <c r="D10" i="15"/>
  <c r="F33" i="13"/>
  <c r="F34" i="13" s="1"/>
  <c r="L8" i="15" s="1"/>
  <c r="N8" i="15" s="1"/>
  <c r="F18" i="16" s="1"/>
  <c r="F27" i="16" s="1"/>
  <c r="D33" i="13"/>
  <c r="D34" i="13" s="1"/>
  <c r="L6" i="15" s="1"/>
  <c r="N6" i="15" s="1"/>
  <c r="D18" i="16" s="1"/>
  <c r="E33" i="13"/>
  <c r="E34" i="13" s="1"/>
  <c r="L7" i="15" s="1"/>
  <c r="E10" i="15"/>
  <c r="I10" i="15"/>
  <c r="E11" i="15"/>
  <c r="I11" i="15"/>
  <c r="E12" i="15"/>
  <c r="I12" i="15"/>
  <c r="E13" i="15"/>
  <c r="I13" i="15"/>
  <c r="E14" i="15"/>
  <c r="I14" i="15"/>
  <c r="E15" i="15"/>
  <c r="I15" i="15"/>
  <c r="E16" i="15"/>
  <c r="I16" i="15"/>
  <c r="AC18" i="15" l="1"/>
  <c r="H10" i="15"/>
  <c r="L12" i="15"/>
  <c r="N12" i="15" s="1"/>
  <c r="J18" i="16" s="1"/>
  <c r="J27" i="16" s="1"/>
  <c r="L13" i="15"/>
  <c r="N13" i="15" s="1"/>
  <c r="K18" i="16" s="1"/>
  <c r="K27" i="16" s="1"/>
  <c r="L14" i="15"/>
  <c r="N14" i="15" s="1"/>
  <c r="L18" i="16" s="1"/>
  <c r="L27" i="16" s="1"/>
  <c r="L15" i="15"/>
  <c r="N15" i="15" s="1"/>
  <c r="M18" i="16" s="1"/>
  <c r="M27" i="16" s="1"/>
  <c r="L16" i="15"/>
  <c r="N16" i="15" s="1"/>
  <c r="N18" i="16" s="1"/>
  <c r="N27" i="16" s="1"/>
  <c r="L10" i="15"/>
  <c r="N10" i="15" s="1"/>
  <c r="H18" i="16" s="1"/>
  <c r="H27" i="16" s="1"/>
  <c r="N7" i="15"/>
  <c r="E18" i="16" s="1"/>
  <c r="E27" i="16" s="1"/>
  <c r="L11" i="15"/>
  <c r="N11" i="15" s="1"/>
  <c r="I18" i="16" s="1"/>
  <c r="I27" i="16" s="1"/>
  <c r="K9" i="9"/>
  <c r="K10" i="9"/>
  <c r="K11" i="9"/>
  <c r="K12" i="9"/>
  <c r="K13" i="9"/>
  <c r="K14" i="9"/>
  <c r="K15" i="9"/>
  <c r="K8" i="9"/>
  <c r="K7" i="9"/>
  <c r="K6" i="9"/>
  <c r="K5" i="9"/>
  <c r="I7" i="9"/>
  <c r="I6" i="9"/>
  <c r="AB18" i="15" l="1"/>
  <c r="J6" i="9"/>
  <c r="L6" i="9" s="1"/>
  <c r="E6" i="16" s="1"/>
  <c r="J7" i="9"/>
  <c r="L7" i="9" s="1"/>
  <c r="F6" i="16" s="1"/>
  <c r="J5" i="9"/>
  <c r="L5" i="9" s="1"/>
  <c r="D6" i="16" s="1"/>
  <c r="J8" i="9"/>
  <c r="L8" i="9" s="1"/>
  <c r="G6" i="16" s="1"/>
  <c r="J14" i="9" l="1"/>
  <c r="L14" i="9" s="1"/>
  <c r="M6" i="16" s="1"/>
  <c r="J15" i="9"/>
  <c r="L15" i="9" s="1"/>
  <c r="N6" i="16" s="1"/>
  <c r="J12" i="9"/>
  <c r="L12" i="9" s="1"/>
  <c r="K6" i="16" s="1"/>
  <c r="J11" i="9"/>
  <c r="L11" i="9" s="1"/>
  <c r="J6" i="16" s="1"/>
  <c r="J9" i="9"/>
  <c r="L9" i="9" s="1"/>
  <c r="H6" i="16" s="1"/>
  <c r="J13" i="9"/>
  <c r="L13" i="9" s="1"/>
  <c r="L6" i="16" s="1"/>
  <c r="J10" i="9"/>
  <c r="L10" i="9" s="1"/>
  <c r="I6" i="16" s="1"/>
  <c r="F5" i="9" l="1"/>
  <c r="D6" i="9"/>
  <c r="F6" i="9"/>
  <c r="D7" i="9"/>
  <c r="F7" i="9"/>
  <c r="E6" i="9" l="1"/>
  <c r="E5" i="9"/>
  <c r="E7" i="9"/>
  <c r="G7" i="9" l="1"/>
  <c r="F7" i="16" s="1"/>
  <c r="G5" i="9"/>
  <c r="D7" i="16" s="1"/>
  <c r="G6" i="9"/>
  <c r="E7" i="16" s="1"/>
  <c r="J16" i="15"/>
  <c r="J14" i="15"/>
  <c r="J13" i="15"/>
  <c r="J15" i="15"/>
  <c r="J11" i="15"/>
  <c r="J10" i="15"/>
  <c r="J12" i="15"/>
  <c r="F16" i="15"/>
  <c r="N15" i="16" s="1"/>
  <c r="F15" i="15"/>
  <c r="F12" i="15"/>
  <c r="J15" i="16" s="1"/>
  <c r="F11" i="15"/>
  <c r="I15" i="16" s="1"/>
  <c r="F14" i="15"/>
  <c r="L15" i="16" s="1"/>
  <c r="F13" i="15"/>
  <c r="K15" i="16" s="1"/>
  <c r="M15" i="16" l="1"/>
  <c r="AD18" i="15"/>
  <c r="N14" i="16"/>
  <c r="N23" i="16" s="1"/>
  <c r="J14" i="16"/>
  <c r="J23" i="16" s="1"/>
  <c r="M14" i="16"/>
  <c r="M23" i="16" s="1"/>
  <c r="K14" i="16"/>
  <c r="K23" i="16" s="1"/>
  <c r="L14" i="16"/>
  <c r="L23" i="16" s="1"/>
  <c r="I14" i="16"/>
  <c r="I23" i="16" s="1"/>
  <c r="H14" i="16"/>
  <c r="H23" i="16" s="1"/>
  <c r="E6" i="15"/>
  <c r="F6" i="15" s="1"/>
  <c r="D15" i="16" s="1"/>
  <c r="D24" i="16" s="1"/>
  <c r="E8" i="15"/>
  <c r="F8" i="15" s="1"/>
  <c r="F15" i="16" s="1"/>
  <c r="F24" i="16" s="1"/>
  <c r="I9" i="15"/>
  <c r="J9" i="15" s="1"/>
  <c r="G14" i="16" s="1"/>
  <c r="G23" i="16" s="1"/>
  <c r="I8" i="15"/>
  <c r="J8" i="15" s="1"/>
  <c r="F14" i="16" s="1"/>
  <c r="F23" i="16" s="1"/>
  <c r="I7" i="15"/>
  <c r="J7" i="15" s="1"/>
  <c r="E14" i="16" s="1"/>
  <c r="E23" i="16" s="1"/>
  <c r="I6" i="15"/>
  <c r="J6" i="15" s="1"/>
  <c r="D14" i="16" s="1"/>
  <c r="D23" i="16" s="1"/>
  <c r="E9" i="15"/>
  <c r="F9" i="15" s="1"/>
  <c r="G15" i="16" s="1"/>
  <c r="E7" i="15"/>
  <c r="F7" i="15" s="1"/>
  <c r="E15" i="16" s="1"/>
  <c r="E24" i="16" s="1"/>
  <c r="F15" i="9" l="1"/>
  <c r="F14" i="9"/>
  <c r="F13" i="9"/>
  <c r="F12" i="9"/>
  <c r="F11" i="9"/>
  <c r="F10" i="9"/>
  <c r="F9" i="9"/>
  <c r="F8" i="9"/>
  <c r="E22" i="16" l="1"/>
  <c r="E9" i="9" l="1"/>
  <c r="E12" i="9"/>
  <c r="E14" i="9"/>
  <c r="E11" i="9"/>
  <c r="E8" i="9"/>
  <c r="E15" i="9"/>
  <c r="E13" i="9"/>
  <c r="E10" i="9"/>
  <c r="G10" i="9" l="1"/>
  <c r="I7" i="16" s="1"/>
  <c r="I24" i="16" s="1"/>
  <c r="G13" i="9"/>
  <c r="L7" i="16" s="1"/>
  <c r="L24" i="16" s="1"/>
  <c r="G8" i="9"/>
  <c r="G7" i="16" s="1"/>
  <c r="G24" i="16" s="1"/>
  <c r="G11" i="9"/>
  <c r="J7" i="16" s="1"/>
  <c r="J24" i="16" s="1"/>
  <c r="G14" i="9"/>
  <c r="M7" i="16" s="1"/>
  <c r="M24" i="16" s="1"/>
  <c r="G12" i="9"/>
  <c r="K7" i="16" s="1"/>
  <c r="K24" i="16" s="1"/>
  <c r="G9" i="9"/>
  <c r="H7" i="16" s="1"/>
  <c r="G15" i="9"/>
  <c r="F22" i="16"/>
  <c r="J22" i="16" l="1"/>
  <c r="K22" i="16"/>
  <c r="N22" i="16"/>
  <c r="N7" i="16"/>
  <c r="N24" i="16" s="1"/>
  <c r="M22" i="16"/>
  <c r="I22" i="16"/>
  <c r="L22" i="16"/>
  <c r="G22" i="16"/>
  <c r="F10" i="15"/>
  <c r="X5" i="9"/>
  <c r="Y5" i="9" s="1"/>
  <c r="G13" i="10"/>
  <c r="G16" i="10"/>
  <c r="I13" i="10"/>
  <c r="I16" i="10"/>
  <c r="H13" i="10"/>
  <c r="H16" i="10"/>
  <c r="F13" i="10"/>
  <c r="F16" i="10"/>
  <c r="H22" i="16" l="1"/>
  <c r="H15" i="16"/>
  <c r="H24" i="16" s="1"/>
  <c r="AA5" i="9"/>
  <c r="D22" i="16"/>
  <c r="D30" i="16" s="1"/>
  <c r="D10" i="16"/>
  <c r="D27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<sst xmlns="http://schemas.openxmlformats.org/spreadsheetml/2006/main" count="940" uniqueCount="136">
  <si>
    <t xml:space="preserve"> Данные об отпуске тепла от переключенных нагрузок источников ПАО "МОЭК" на  ТЭЦ "Мосэнерго"</t>
  </si>
  <si>
    <t>Источник</t>
  </si>
  <si>
    <t>Ед. изм.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</si>
  <si>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</si>
  <si>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</si>
  <si>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</si>
  <si>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</si>
  <si>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</si>
  <si>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</si>
  <si>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</si>
  <si>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</si>
  <si>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</si>
  <si>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</si>
  <si>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</si>
  <si>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</si>
  <si>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тыс. Гкал</t>
  </si>
  <si>
    <t>ТЭЦ-21</t>
  </si>
  <si>
    <t>КТС Северная</t>
  </si>
  <si>
    <t>ТЭЦ-22</t>
  </si>
  <si>
    <t>КТС Косино</t>
  </si>
  <si>
    <t>ИТОГО:</t>
  </si>
  <si>
    <t>Показатель</t>
  </si>
  <si>
    <t>Этапы реализации</t>
  </si>
  <si>
    <t xml:space="preserve">КТС Северная </t>
  </si>
  <si>
    <t>Период:  2022</t>
  </si>
  <si>
    <t>УРУТ,
 кг.у.т/Гкал</t>
  </si>
  <si>
    <t>Кол-во отпущенного тепла, тыс. Гкал</t>
  </si>
  <si>
    <t>Расход топлива, т.у.т.</t>
  </si>
  <si>
    <t>Коэф-т выбросов, тСО2/т.у.т.</t>
  </si>
  <si>
    <t>Выбросы, тСО2</t>
  </si>
  <si>
    <t>Прогнозные значения</t>
  </si>
  <si>
    <t>Фактические значения</t>
  </si>
  <si>
    <t>Период:  2023</t>
  </si>
  <si>
    <t>год</t>
  </si>
  <si>
    <t>Переключаемая нагрузка</t>
  </si>
  <si>
    <t xml:space="preserve">   в том числе на ПВК</t>
  </si>
  <si>
    <t>Расход топлива на ТЭЦ (всего)</t>
  </si>
  <si>
    <t>тыс ту.т.</t>
  </si>
  <si>
    <t>Расход топлива на ПВК по переключениям</t>
  </si>
  <si>
    <t>Расход топлива в энергетических котлах на переключенную нагрузку</t>
  </si>
  <si>
    <t>Экономия топлива на замещении конденсационной выработки</t>
  </si>
  <si>
    <t>Расход топлива на ТЭЦ без учета переключений</t>
  </si>
  <si>
    <t>Прирост топлива на ТЭЦ</t>
  </si>
  <si>
    <t>кгу.т./Гкал</t>
  </si>
  <si>
    <t>тСО2/т.у.т</t>
  </si>
  <si>
    <t>Параметр</t>
  </si>
  <si>
    <t>тСО2</t>
  </si>
  <si>
    <t>Утечки</t>
  </si>
  <si>
    <t>Единица измерения</t>
  </si>
  <si>
    <t>Таблица 1. Расчет сокращения выбросов парниковых газов в результате реализации проекта</t>
  </si>
  <si>
    <t>Приказ МПР 371</t>
  </si>
  <si>
    <t>Коэффициент выбросов</t>
  </si>
  <si>
    <t>Выбросы в проектном сценарии от производства тепловой энергии (прирост топлива)</t>
  </si>
  <si>
    <t>Прирост топлива, тыс. т.у.т.</t>
  </si>
  <si>
    <t>02.07.2021 - 31.12.2021</t>
  </si>
  <si>
    <t>01.01.2031 - 01.07.2031</t>
  </si>
  <si>
    <r>
      <t xml:space="preserve">Период: </t>
    </r>
    <r>
      <rPr>
        <b/>
        <sz val="16"/>
        <color theme="1"/>
        <rFont val="Arial"/>
        <family val="2"/>
        <charset val="204"/>
      </rPr>
      <t xml:space="preserve"> 2021</t>
    </r>
    <r>
      <rPr>
        <sz val="12"/>
        <color theme="1"/>
        <rFont val="Arial"/>
        <family val="2"/>
        <charset val="204"/>
      </rPr>
      <t xml:space="preserve"> </t>
    </r>
  </si>
  <si>
    <r>
      <t xml:space="preserve">Помесячные объемы отпуска тепла от переключаемых нагрузок по каждой ТЭЦ, </t>
    </r>
    <r>
      <rPr>
        <b/>
        <i/>
        <sz val="12"/>
        <color theme="0"/>
        <rFont val="Arial"/>
        <family val="2"/>
        <charset val="204"/>
      </rPr>
      <t xml:space="preserve">Qпер         </t>
    </r>
  </si>
  <si>
    <t>Выбросы в базовом сценарии от производства тепловой энергии (котельные)</t>
  </si>
  <si>
    <r>
      <t xml:space="preserve">Помесячные объемы отпуска тепла от переключаемых нагрузок по каждой ТЭЦ, </t>
    </r>
    <r>
      <rPr>
        <i/>
        <sz val="12"/>
        <color theme="0"/>
        <rFont val="Arial"/>
        <family val="2"/>
        <charset val="204"/>
      </rPr>
      <t xml:space="preserve">Qпер         </t>
    </r>
  </si>
  <si>
    <t>Период:  2024</t>
  </si>
  <si>
    <t>Таблица 1. Коэффициент выбросов</t>
  </si>
  <si>
    <t>Отпуск тепла</t>
  </si>
  <si>
    <t xml:space="preserve">   от ПВК</t>
  </si>
  <si>
    <t xml:space="preserve">   от РОУ (БРОУ)</t>
  </si>
  <si>
    <t>Выработка ээ всего</t>
  </si>
  <si>
    <t>тыс.кВтч</t>
  </si>
  <si>
    <t>в т.ч. выработка ээ на тепловом потреблении</t>
  </si>
  <si>
    <t>Удельный расход условного топлива на тепло</t>
  </si>
  <si>
    <t>Удельный расход условного топлива на тепло ПВК</t>
  </si>
  <si>
    <t>Удельный расход условного топлива на производство тепла в парогенераторах</t>
  </si>
  <si>
    <t>Удельный расход условного топлива на ээ по тф</t>
  </si>
  <si>
    <t>гу.т./кВтч</t>
  </si>
  <si>
    <t>Удельный расход условного топлива на ээ по кц</t>
  </si>
  <si>
    <t>Удельная выработка ээ на тепловом потреблении</t>
  </si>
  <si>
    <t>кВтч/Гкал</t>
  </si>
  <si>
    <t>Доля ПВК</t>
  </si>
  <si>
    <t>%</t>
  </si>
  <si>
    <t>Доля конденсационной выработки</t>
  </si>
  <si>
    <t>КИТ(тф)</t>
  </si>
  <si>
    <t>Общий расход условного топлива (всего)</t>
  </si>
  <si>
    <t>тут</t>
  </si>
  <si>
    <t>Расход ээ на СН</t>
  </si>
  <si>
    <t>Переключаемая нагрузка (КТС Северная), тыс. Гкал</t>
  </si>
  <si>
    <t>Переключаемая нагрузка (КТС Косино), тыс. Гкал</t>
  </si>
  <si>
    <t>Наименование котельной</t>
  </si>
  <si>
    <t>Источник данных</t>
  </si>
  <si>
    <t>1) Коммерческий баланс тепловой энергии
2) Отчет о работе котельной</t>
  </si>
  <si>
    <t>ТЭЦ-25</t>
  </si>
  <si>
    <t>КТС Кунцево</t>
  </si>
  <si>
    <t>-</t>
  </si>
  <si>
    <t>РТС Курьяново</t>
  </si>
  <si>
    <t>ТЭЦ-26</t>
  </si>
  <si>
    <t>РТС Некрасовка</t>
  </si>
  <si>
    <t>РТС Чертаново</t>
  </si>
  <si>
    <t>РТС Южное Бутово</t>
  </si>
  <si>
    <t>Выбросы в базовой линии, в т.ч.</t>
  </si>
  <si>
    <t>Выбросы в проектном сценарии в т.ч.</t>
  </si>
  <si>
    <t>ТЭЦ-22 (КТС Косино, полное переключение)</t>
  </si>
  <si>
    <t>ТЭЦ-21 (КТС Северная, полное переключение)</t>
  </si>
  <si>
    <t>ТЭЦ-25 (КТС Кунцево, частичное переключение)</t>
  </si>
  <si>
    <t>ТЭЦ-26 (РТС Курьяново, частичное переключение)</t>
  </si>
  <si>
    <t>ТЭЦ-22 (РТС Некрасовка, частичное переключение)</t>
  </si>
  <si>
    <t>ТЭЦ-26 (РТС Чертаново, частичное переключение)</t>
  </si>
  <si>
    <t>ТЭЦ-26 (РТС Южное Бутово, частичное переключение)</t>
  </si>
  <si>
    <t>КТС Косино, полное переключение</t>
  </si>
  <si>
    <t>КТС Северная, полное переключение</t>
  </si>
  <si>
    <t>КТС Кунцево, частичное переключение</t>
  </si>
  <si>
    <t>РТС Курьяново, частичное переключение</t>
  </si>
  <si>
    <t>РТС Некрасовка, частичное переключение</t>
  </si>
  <si>
    <t>РТС Чертаново, частичное переключение</t>
  </si>
  <si>
    <t>РТС Южное Бутово, частичное переключение</t>
  </si>
  <si>
    <t>Расчет топливного эффекта на ТЭЦ-21 (КТС Северная)</t>
  </si>
  <si>
    <t>Расчет топливного эффекта на ТЭЦ-22 (КТС Косино)</t>
  </si>
  <si>
    <t>Расчет топливного эффекта на ТЭЦ-22 (РТС Некрасовка)</t>
  </si>
  <si>
    <t>Расчет топливного эффекта на ТЭЦ-25 (КТС Кунцево)</t>
  </si>
  <si>
    <t>Расчет топливного эффекта на ТЭЦ-26 (РТС Курьяново)</t>
  </si>
  <si>
    <t xml:space="preserve"> </t>
  </si>
  <si>
    <t>Расчет топливного эффекта на ТЭЦ-26 (РТС Чертаново)</t>
  </si>
  <si>
    <t>Расчет топливного эффекта на ТЭЦ-26 (РТС Южное Бутово)</t>
  </si>
  <si>
    <t>Переключаемая нагрузка (РТС Некрасовка), тыс. Гкал</t>
  </si>
  <si>
    <t>Переключаемая нагрузка (КТС Кунцево), тыс. Гкал</t>
  </si>
  <si>
    <t>Переключаемая нагрузка (РТС Чертаново), тыс. Гкал</t>
  </si>
  <si>
    <t>Сокращение выбросов, в т.ч.</t>
  </si>
  <si>
    <t>Переключаемая нагрузка (РТС Курьяново), тыс. Гкал</t>
  </si>
  <si>
    <t>КТС Северная (ТЭЦ-21, полное переключение)</t>
  </si>
  <si>
    <t>КТС Косино (ТЭЦ-22, полное переключение)</t>
  </si>
  <si>
    <t>РТС Некрасовка (ТЭЦ-22, частичное переключение)</t>
  </si>
  <si>
    <t>РТС Чертаново (ТЭЦ-26, частичное переключение)</t>
  </si>
  <si>
    <t>РТС Южное Бутово (ТЭЦ-26, частичное переключение)</t>
  </si>
  <si>
    <t>РТС Курьяново (ТЭЦ-26, частичное переключение)</t>
  </si>
  <si>
    <t>ТЭЦ-25 (РТС Кунцево, частичное переключение)</t>
  </si>
  <si>
    <t>РТС Кунцево (ТЭЦ-25, частичное переключение)</t>
  </si>
  <si>
    <t>Таблица 1. Показатели работы котельных за три года до реализации проекта</t>
  </si>
  <si>
    <t>Исторические данные о количестве тепловой энергии, потребленной тепловыми пунктами в зонах теплоснабжения переключаемых котельных, тыс. Гкал</t>
  </si>
  <si>
    <t>Исторические данные об удельном расходе условного топлива на отпущенную тепловую энергию котельными, кг у.т./Гкал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</si>
</sst>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0"/>
    <numFmt numFmtId="165" formatCode="0.000"/>
    <numFmt numFmtId="166" formatCode="_(* #,##0.00_);_(* \(#,##0.00\);_(* &quot;-&quot;??_);_(@_)"/>
    <numFmt numFmtId="167" formatCode="#,##0.0"/>
    <numFmt numFmtId="168" formatCode="0.0"/>
    <numFmt numFmtId="169" formatCode="0.0%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8"/>
      <name val="Calibri"/>
      <family val="2"/>
      <charset val="204"/>
      <scheme val="minor"/>
    </font>
    <font>
      <sz val="10"/>
      <name val="Arial Cyr"/>
      <charset val="204"/>
    </font>
    <font>
      <sz val="10"/>
      <color rgb="FF00000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theme="0"/>
      <name val="Arial"/>
      <family val="2"/>
      <charset val="204"/>
    </font>
    <font>
      <sz val="11"/>
      <color theme="0" tint="-0.249977111117893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0"/>
      <name val="Arial"/>
      <family val="2"/>
      <charset val="204"/>
    </font>
    <font>
      <b/>
      <i/>
      <sz val="12"/>
      <color theme="0"/>
      <name val="Arial"/>
      <family val="2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9"/>
      <color theme="0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0" tint="-0.249977111117893"/>
      <name val="Arial"/>
      <family val="2"/>
      <charset val="204"/>
    </font>
    <font>
      <b/>
      <sz val="9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i/>
      <sz val="12"/>
      <color theme="0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color indexed="64"/>
      <name val="Arial"/>
      <family val="2"/>
      <charset val="204"/>
    </font>
    <font>
      <sz val="12"/>
      <color indexed="2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F1D3F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ck">
        <color auto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auto="1"/>
      </right>
      <top/>
      <bottom style="medium">
        <color indexed="64"/>
      </bottom>
      <diagonal/>
    </border>
    <border>
      <left style="thick">
        <color auto="1"/>
      </left>
      <right/>
      <top style="thin">
        <color theme="0"/>
      </top>
      <bottom style="thin">
        <color theme="0"/>
      </bottom>
      <diagonal/>
    </border>
    <border>
      <left style="thick">
        <color auto="1"/>
      </left>
      <right style="thick">
        <color auto="1"/>
      </right>
      <top style="thin">
        <color theme="0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3" fillId="0" borderId="0"/>
    <xf numFmtId="0" fontId="1" fillId="0" borderId="0"/>
    <xf numFmtId="166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6" fillId="0" borderId="0"/>
    <xf numFmtId="0" fontId="3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Protection="0"/>
    <xf numFmtId="0" fontId="1" fillId="0" borderId="0"/>
  </cellStyleXfs>
  <cellXfs count="439">
    <xf numFmtId="0" fontId="0" fillId="0" borderId="0" xfId="0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5" borderId="23" xfId="0" applyFont="1" applyFill="1" applyBorder="1" applyAlignment="1">
      <alignment horizontal="center" vertical="center"/>
    </xf>
    <xf numFmtId="0" fontId="9" fillId="5" borderId="2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7" fontId="7" fillId="0" borderId="3" xfId="0" applyNumberFormat="1" applyFont="1" applyBorder="1" applyAlignment="1">
      <alignment horizontal="center" vertical="center"/>
    </xf>
    <xf numFmtId="0" fontId="7" fillId="0" borderId="0" xfId="1" applyFont="1"/>
    <xf numFmtId="2" fontId="12" fillId="0" borderId="0" xfId="1" applyNumberFormat="1" applyFont="1" applyAlignment="1">
      <alignment horizontal="center"/>
    </xf>
    <xf numFmtId="2" fontId="7" fillId="0" borderId="0" xfId="1" applyNumberFormat="1" applyFont="1" applyAlignment="1">
      <alignment horizontal="center"/>
    </xf>
    <xf numFmtId="0" fontId="7" fillId="0" borderId="0" xfId="1" applyFont="1" applyAlignment="1">
      <alignment horizontal="center"/>
    </xf>
    <xf numFmtId="0" fontId="15" fillId="5" borderId="25" xfId="1" applyFont="1" applyFill="1" applyBorder="1" applyAlignment="1">
      <alignment horizontal="center" vertical="center"/>
    </xf>
    <xf numFmtId="2" fontId="15" fillId="5" borderId="25" xfId="1" applyNumberFormat="1" applyFont="1" applyFill="1" applyBorder="1" applyAlignment="1">
      <alignment horizontal="center" vertical="center"/>
    </xf>
    <xf numFmtId="164" fontId="15" fillId="5" borderId="25" xfId="1" applyNumberFormat="1" applyFont="1" applyFill="1" applyBorder="1" applyAlignment="1">
      <alignment horizontal="center" vertical="center"/>
    </xf>
    <xf numFmtId="0" fontId="14" fillId="6" borderId="3" xfId="1" applyFont="1" applyFill="1" applyBorder="1" applyAlignment="1">
      <alignment horizontal="left" vertic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6" xfId="1" applyFont="1" applyBorder="1" applyAlignment="1">
      <alignment horizontal="left" vertical="center"/>
    </xf>
    <xf numFmtId="2" fontId="7" fillId="0" borderId="3" xfId="2" applyNumberFormat="1" applyFont="1" applyFill="1" applyBorder="1" applyAlignment="1" applyProtection="1">
      <alignment horizontal="center" vertical="center" wrapText="1"/>
    </xf>
    <xf numFmtId="2" fontId="7" fillId="0" borderId="3" xfId="2" applyNumberFormat="1" applyFont="1" applyFill="1" applyBorder="1" applyAlignment="1" applyProtection="1">
      <alignment horizontal="center" vertical="top"/>
    </xf>
    <xf numFmtId="165" fontId="7" fillId="0" borderId="3" xfId="2" applyNumberFormat="1" applyFont="1" applyFill="1" applyBorder="1" applyAlignment="1" applyProtection="1">
      <alignment horizontal="center" vertical="center" wrapText="1"/>
    </xf>
    <xf numFmtId="2" fontId="7" fillId="0" borderId="3" xfId="1" applyNumberFormat="1" applyFont="1" applyBorder="1" applyAlignment="1">
      <alignment horizontal="center" vertical="center"/>
    </xf>
    <xf numFmtId="165" fontId="7" fillId="0" borderId="3" xfId="1" applyNumberFormat="1" applyFont="1" applyBorder="1" applyAlignment="1">
      <alignment horizontal="center" vertical="center"/>
    </xf>
    <xf numFmtId="165" fontId="7" fillId="0" borderId="9" xfId="2" applyNumberFormat="1" applyFont="1" applyFill="1" applyBorder="1" applyAlignment="1" applyProtection="1">
      <alignment horizontal="center" vertical="center" wrapText="1"/>
    </xf>
    <xf numFmtId="165" fontId="7" fillId="0" borderId="3" xfId="2" applyNumberFormat="1" applyFont="1" applyFill="1" applyBorder="1" applyAlignment="1" applyProtection="1">
      <alignment horizontal="center" vertical="top"/>
    </xf>
    <xf numFmtId="165" fontId="7" fillId="0" borderId="4" xfId="1" applyNumberFormat="1" applyFont="1" applyBorder="1" applyAlignment="1">
      <alignment horizontal="center" vertical="center"/>
    </xf>
    <xf numFmtId="0" fontId="14" fillId="6" borderId="4" xfId="1" applyFont="1" applyFill="1" applyBorder="1" applyAlignment="1">
      <alignment horizontal="center" vertical="center"/>
    </xf>
    <xf numFmtId="0" fontId="14" fillId="0" borderId="7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left" vertical="center"/>
    </xf>
    <xf numFmtId="2" fontId="17" fillId="0" borderId="3" xfId="2" applyNumberFormat="1" applyFont="1" applyFill="1" applyBorder="1" applyAlignment="1" applyProtection="1">
      <alignment horizontal="center" vertical="center" wrapText="1"/>
    </xf>
    <xf numFmtId="165" fontId="17" fillId="0" borderId="3" xfId="2" applyNumberFormat="1" applyFont="1" applyFill="1" applyBorder="1" applyAlignment="1" applyProtection="1">
      <alignment horizontal="center" vertical="center" wrapText="1"/>
    </xf>
    <xf numFmtId="165" fontId="17" fillId="0" borderId="3" xfId="1" applyNumberFormat="1" applyFont="1" applyBorder="1" applyAlignment="1">
      <alignment horizontal="center" vertical="center"/>
    </xf>
    <xf numFmtId="165" fontId="17" fillId="0" borderId="9" xfId="2" applyNumberFormat="1" applyFont="1" applyFill="1" applyBorder="1" applyAlignment="1" applyProtection="1">
      <alignment horizontal="center" vertical="center" wrapText="1"/>
    </xf>
    <xf numFmtId="165" fontId="17" fillId="0" borderId="4" xfId="1" applyNumberFormat="1" applyFont="1" applyBorder="1" applyAlignment="1">
      <alignment horizontal="center" vertical="center"/>
    </xf>
    <xf numFmtId="2" fontId="12" fillId="0" borderId="3" xfId="1" applyNumberFormat="1" applyFont="1" applyBorder="1" applyAlignment="1">
      <alignment horizontal="center"/>
    </xf>
    <xf numFmtId="0" fontId="11" fillId="2" borderId="3" xfId="1" applyFont="1" applyFill="1" applyBorder="1" applyAlignment="1">
      <alignment horizontal="left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4" fillId="2" borderId="3" xfId="1" applyFont="1" applyFill="1" applyBorder="1" applyAlignment="1">
      <alignment horizontal="left" vertical="center"/>
    </xf>
    <xf numFmtId="2" fontId="11" fillId="2" borderId="3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17" fillId="0" borderId="0" xfId="1" applyFont="1" applyAlignment="1">
      <alignment horizontal="center"/>
    </xf>
    <xf numFmtId="164" fontId="7" fillId="0" borderId="0" xfId="1" applyNumberFormat="1" applyFont="1" applyAlignment="1">
      <alignment horizontal="center"/>
    </xf>
    <xf numFmtId="165" fontId="7" fillId="0" borderId="0" xfId="1" applyNumberFormat="1" applyFont="1" applyAlignment="1">
      <alignment horizontal="center" vertical="center"/>
    </xf>
    <xf numFmtId="0" fontId="7" fillId="0" borderId="8" xfId="1" applyFont="1" applyBorder="1" applyAlignment="1">
      <alignment horizontal="center"/>
    </xf>
    <xf numFmtId="2" fontId="7" fillId="0" borderId="0" xfId="1" applyNumberFormat="1" applyFont="1" applyAlignment="1">
      <alignment horizontal="center" vertical="center"/>
    </xf>
    <xf numFmtId="0" fontId="7" fillId="0" borderId="0" xfId="0" applyFont="1"/>
    <xf numFmtId="0" fontId="7" fillId="3" borderId="0" xfId="1" applyFont="1" applyFill="1" applyAlignment="1">
      <alignment horizontal="center"/>
    </xf>
    <xf numFmtId="0" fontId="17" fillId="3" borderId="0" xfId="1" applyFont="1" applyFill="1" applyAlignment="1">
      <alignment horizontal="center"/>
    </xf>
    <xf numFmtId="2" fontId="7" fillId="3" borderId="0" xfId="1" applyNumberFormat="1" applyFont="1" applyFill="1" applyAlignment="1">
      <alignment horizontal="center"/>
    </xf>
    <xf numFmtId="164" fontId="7" fillId="3" borderId="0" xfId="1" applyNumberFormat="1" applyFont="1" applyFill="1" applyAlignment="1">
      <alignment horizontal="center"/>
    </xf>
    <xf numFmtId="0" fontId="14" fillId="0" borderId="0" xfId="1" applyFont="1" applyAlignment="1">
      <alignment horizontal="left" vertical="center" wrapText="1"/>
    </xf>
    <xf numFmtId="0" fontId="14" fillId="0" borderId="0" xfId="1" applyFont="1" applyAlignment="1">
      <alignment horizontal="center" wrapText="1"/>
    </xf>
    <xf numFmtId="0" fontId="14" fillId="0" borderId="19" xfId="1" applyFont="1" applyBorder="1" applyAlignment="1">
      <alignment horizontal="center" wrapText="1"/>
    </xf>
    <xf numFmtId="0" fontId="18" fillId="0" borderId="19" xfId="1" applyFont="1" applyBorder="1" applyAlignment="1">
      <alignment horizontal="center" wrapText="1"/>
    </xf>
    <xf numFmtId="0" fontId="11" fillId="0" borderId="0" xfId="1" applyFont="1" applyAlignment="1">
      <alignment vertical="center" wrapText="1"/>
    </xf>
    <xf numFmtId="0" fontId="11" fillId="0" borderId="19" xfId="1" applyFont="1" applyBorder="1" applyAlignment="1">
      <alignment vertical="center" wrapText="1"/>
    </xf>
    <xf numFmtId="0" fontId="19" fillId="0" borderId="19" xfId="1" applyFont="1" applyBorder="1" applyAlignment="1">
      <alignment vertical="center" wrapText="1"/>
    </xf>
    <xf numFmtId="0" fontId="15" fillId="5" borderId="23" xfId="1" applyFont="1" applyFill="1" applyBorder="1" applyAlignment="1">
      <alignment horizontal="center" vertical="center" wrapText="1"/>
    </xf>
    <xf numFmtId="0" fontId="7" fillId="0" borderId="23" xfId="1" applyFont="1" applyBorder="1"/>
    <xf numFmtId="2" fontId="14" fillId="0" borderId="26" xfId="1" applyNumberFormat="1" applyFont="1" applyBorder="1" applyAlignment="1">
      <alignment horizontal="center" vertical="center" wrapText="1"/>
    </xf>
    <xf numFmtId="2" fontId="18" fillId="0" borderId="26" xfId="1" applyNumberFormat="1" applyFont="1" applyBorder="1" applyAlignment="1">
      <alignment horizontal="center" vertical="center" wrapText="1"/>
    </xf>
    <xf numFmtId="2" fontId="14" fillId="0" borderId="20" xfId="1" applyNumberFormat="1" applyFont="1" applyBorder="1" applyAlignment="1">
      <alignment horizontal="center" vertical="center" wrapText="1"/>
    </xf>
    <xf numFmtId="2" fontId="18" fillId="0" borderId="20" xfId="1" applyNumberFormat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 wrapText="1"/>
    </xf>
    <xf numFmtId="0" fontId="14" fillId="0" borderId="5" xfId="1" applyFont="1" applyBorder="1" applyAlignment="1">
      <alignment horizontal="left" vertical="center" wrapText="1"/>
    </xf>
    <xf numFmtId="0" fontId="14" fillId="0" borderId="3" xfId="1" applyFont="1" applyBorder="1" applyAlignment="1">
      <alignment horizontal="left" vertical="center" wrapText="1"/>
    </xf>
    <xf numFmtId="0" fontId="14" fillId="0" borderId="5" xfId="1" applyFont="1" applyBorder="1" applyAlignment="1">
      <alignment vertical="center" wrapText="1"/>
    </xf>
    <xf numFmtId="0" fontId="14" fillId="0" borderId="5" xfId="1" applyFont="1" applyBorder="1" applyAlignment="1">
      <alignment horizontal="left" vertical="top" wrapText="1"/>
    </xf>
    <xf numFmtId="2" fontId="18" fillId="0" borderId="20" xfId="1" applyNumberFormat="1" applyFont="1" applyBorder="1" applyAlignment="1">
      <alignment horizontal="center" vertical="top" wrapText="1"/>
    </xf>
    <xf numFmtId="0" fontId="7" fillId="0" borderId="0" xfId="1" applyFont="1" applyAlignment="1">
      <alignment vertical="top"/>
    </xf>
    <xf numFmtId="0" fontId="18" fillId="0" borderId="0" xfId="1" applyFont="1" applyAlignment="1">
      <alignment vertical="center" wrapText="1"/>
    </xf>
    <xf numFmtId="0" fontId="18" fillId="0" borderId="19" xfId="1" applyFont="1" applyBorder="1" applyAlignment="1">
      <alignment vertical="center" wrapText="1"/>
    </xf>
    <xf numFmtId="0" fontId="17" fillId="4" borderId="0" xfId="1" applyFont="1" applyFill="1"/>
    <xf numFmtId="0" fontId="17" fillId="0" borderId="23" xfId="1" applyFont="1" applyBorder="1"/>
    <xf numFmtId="0" fontId="17" fillId="0" borderId="0" xfId="1" applyFont="1"/>
    <xf numFmtId="0" fontId="17" fillId="0" borderId="0" xfId="1" applyFont="1" applyAlignment="1">
      <alignment vertical="top"/>
    </xf>
    <xf numFmtId="0" fontId="9" fillId="5" borderId="3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 wrapText="1"/>
    </xf>
    <xf numFmtId="2" fontId="7" fillId="2" borderId="3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165" fontId="20" fillId="0" borderId="0" xfId="0" applyNumberFormat="1" applyFont="1" applyAlignment="1">
      <alignment vertical="center"/>
    </xf>
    <xf numFmtId="0" fontId="7" fillId="0" borderId="19" xfId="0" applyFont="1" applyBorder="1"/>
    <xf numFmtId="0" fontId="7" fillId="0" borderId="0" xfId="0" applyFont="1" applyAlignment="1">
      <alignment vertical="center"/>
    </xf>
    <xf numFmtId="0" fontId="21" fillId="5" borderId="23" xfId="3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1" fillId="5" borderId="29" xfId="3" applyFont="1" applyFill="1" applyBorder="1" applyAlignment="1">
      <alignment horizontal="center" vertical="center" wrapText="1"/>
    </xf>
    <xf numFmtId="0" fontId="21" fillId="5" borderId="27" xfId="3" applyFont="1" applyFill="1" applyBorder="1" applyAlignment="1">
      <alignment horizontal="center" vertical="center" wrapText="1"/>
    </xf>
    <xf numFmtId="0" fontId="23" fillId="0" borderId="12" xfId="3" applyFont="1" applyBorder="1" applyAlignment="1">
      <alignment horizontal="center" vertical="center" wrapText="1"/>
    </xf>
    <xf numFmtId="0" fontId="23" fillId="0" borderId="26" xfId="3" applyFont="1" applyBorder="1" applyAlignment="1">
      <alignment horizontal="center" vertical="center" wrapText="1"/>
    </xf>
    <xf numFmtId="0" fontId="23" fillId="0" borderId="28" xfId="3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/>
    </xf>
    <xf numFmtId="4" fontId="7" fillId="0" borderId="7" xfId="0" applyNumberFormat="1" applyFont="1" applyBorder="1" applyAlignment="1">
      <alignment horizontal="center" vertical="center"/>
    </xf>
    <xf numFmtId="0" fontId="8" fillId="0" borderId="12" xfId="3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/>
    </xf>
    <xf numFmtId="0" fontId="7" fillId="0" borderId="19" xfId="0" applyFont="1" applyBorder="1" applyAlignment="1">
      <alignment vertical="center"/>
    </xf>
    <xf numFmtId="165" fontId="7" fillId="0" borderId="0" xfId="0" applyNumberFormat="1" applyFont="1"/>
    <xf numFmtId="4" fontId="7" fillId="0" borderId="0" xfId="0" applyNumberFormat="1" applyFont="1"/>
    <xf numFmtId="0" fontId="8" fillId="0" borderId="0" xfId="0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20" fillId="0" borderId="19" xfId="0" applyFont="1" applyBorder="1" applyAlignment="1">
      <alignment vertical="center"/>
    </xf>
    <xf numFmtId="4" fontId="7" fillId="0" borderId="19" xfId="0" applyNumberFormat="1" applyFont="1" applyBorder="1"/>
    <xf numFmtId="0" fontId="25" fillId="5" borderId="25" xfId="1" applyFont="1" applyFill="1" applyBorder="1" applyAlignment="1">
      <alignment horizontal="center" vertical="center"/>
    </xf>
    <xf numFmtId="2" fontId="25" fillId="5" borderId="25" xfId="1" applyNumberFormat="1" applyFont="1" applyFill="1" applyBorder="1" applyAlignment="1">
      <alignment horizontal="center" vertical="center"/>
    </xf>
    <xf numFmtId="164" fontId="25" fillId="5" borderId="25" xfId="1" applyNumberFormat="1" applyFont="1" applyFill="1" applyBorder="1" applyAlignment="1">
      <alignment horizontal="center" vertical="center"/>
    </xf>
    <xf numFmtId="0" fontId="15" fillId="5" borderId="30" xfId="1" applyFont="1" applyFill="1" applyBorder="1" applyAlignment="1">
      <alignment horizontal="center" vertical="center" wrapText="1"/>
    </xf>
    <xf numFmtId="2" fontId="14" fillId="0" borderId="12" xfId="1" applyNumberFormat="1" applyFont="1" applyBorder="1" applyAlignment="1">
      <alignment horizontal="center" vertical="center" wrapText="1"/>
    </xf>
    <xf numFmtId="2" fontId="18" fillId="0" borderId="12" xfId="1" applyNumberFormat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wrapText="1"/>
    </xf>
    <xf numFmtId="0" fontId="11" fillId="0" borderId="8" xfId="1" applyFont="1" applyBorder="1" applyAlignment="1">
      <alignment vertical="center" wrapText="1"/>
    </xf>
    <xf numFmtId="0" fontId="18" fillId="0" borderId="8" xfId="1" applyFont="1" applyBorder="1" applyAlignment="1">
      <alignment vertical="center" wrapText="1"/>
    </xf>
    <xf numFmtId="0" fontId="9" fillId="5" borderId="31" xfId="0" applyFont="1" applyFill="1" applyBorder="1" applyAlignment="1">
      <alignment horizontal="center" vertical="center"/>
    </xf>
    <xf numFmtId="0" fontId="8" fillId="0" borderId="3" xfId="3" applyFont="1" applyBorder="1" applyAlignment="1">
      <alignment horizontal="center" vertical="center" wrapText="1"/>
    </xf>
    <xf numFmtId="0" fontId="18" fillId="0" borderId="3" xfId="1" applyFont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0" fontId="8" fillId="0" borderId="34" xfId="3" applyFont="1" applyBorder="1" applyAlignment="1">
      <alignment horizontal="center" vertical="center" wrapText="1"/>
    </xf>
    <xf numFmtId="4" fontId="7" fillId="0" borderId="35" xfId="0" applyNumberFormat="1" applyFont="1" applyBorder="1" applyAlignment="1">
      <alignment horizontal="center" vertical="center"/>
    </xf>
    <xf numFmtId="0" fontId="7" fillId="0" borderId="28" xfId="0" applyFont="1" applyBorder="1"/>
    <xf numFmtId="0" fontId="7" fillId="0" borderId="33" xfId="0" applyFont="1" applyBorder="1"/>
    <xf numFmtId="4" fontId="7" fillId="0" borderId="37" xfId="0" applyNumberFormat="1" applyFont="1" applyBorder="1" applyAlignment="1">
      <alignment horizontal="center" vertical="center"/>
    </xf>
    <xf numFmtId="0" fontId="8" fillId="0" borderId="0" xfId="0" applyFont="1"/>
    <xf numFmtId="0" fontId="9" fillId="5" borderId="32" xfId="1" applyFont="1" applyFill="1" applyBorder="1" applyAlignment="1">
      <alignment horizontal="center" vertical="center" wrapText="1"/>
    </xf>
    <xf numFmtId="0" fontId="11" fillId="0" borderId="19" xfId="1" applyFont="1" applyBorder="1" applyAlignment="1">
      <alignment horizontal="center" wrapText="1"/>
    </xf>
    <xf numFmtId="0" fontId="8" fillId="0" borderId="14" xfId="3" applyFont="1" applyBorder="1" applyAlignment="1">
      <alignment horizontal="center" vertical="center" wrapText="1"/>
    </xf>
    <xf numFmtId="4" fontId="7" fillId="0" borderId="15" xfId="0" applyNumberFormat="1" applyFont="1" applyBorder="1" applyAlignment="1">
      <alignment horizontal="center" vertical="center"/>
    </xf>
    <xf numFmtId="4" fontId="7" fillId="0" borderId="11" xfId="0" applyNumberFormat="1" applyFont="1" applyBorder="1" applyAlignment="1">
      <alignment horizontal="center" vertical="center"/>
    </xf>
    <xf numFmtId="4" fontId="7" fillId="0" borderId="39" xfId="0" applyNumberFormat="1" applyFont="1" applyBorder="1" applyAlignment="1">
      <alignment horizontal="center" vertical="center"/>
    </xf>
    <xf numFmtId="4" fontId="7" fillId="0" borderId="21" xfId="0" applyNumberFormat="1" applyFont="1" applyBorder="1" applyAlignment="1">
      <alignment horizontal="center" vertical="center"/>
    </xf>
    <xf numFmtId="0" fontId="7" fillId="0" borderId="38" xfId="0" applyFont="1" applyBorder="1" applyAlignment="1">
      <alignment vertical="center"/>
    </xf>
    <xf numFmtId="0" fontId="11" fillId="0" borderId="0" xfId="1" applyFont="1" applyAlignment="1">
      <alignment horizontal="center" wrapText="1"/>
    </xf>
    <xf numFmtId="0" fontId="15" fillId="5" borderId="4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center" wrapText="1"/>
    </xf>
    <xf numFmtId="0" fontId="11" fillId="0" borderId="0" xfId="1" applyFont="1" applyAlignment="1">
      <alignment horizontal="center" vertical="center" wrapText="1"/>
    </xf>
    <xf numFmtId="2" fontId="7" fillId="0" borderId="24" xfId="3" applyNumberFormat="1" applyFont="1" applyBorder="1" applyAlignment="1">
      <alignment horizontal="center" vertical="center" wrapText="1"/>
    </xf>
    <xf numFmtId="2" fontId="7" fillId="0" borderId="33" xfId="3" applyNumberFormat="1" applyFont="1" applyBorder="1" applyAlignment="1">
      <alignment horizontal="center" vertical="center" wrapText="1"/>
    </xf>
    <xf numFmtId="167" fontId="7" fillId="0" borderId="20" xfId="0" applyNumberFormat="1" applyFont="1" applyBorder="1" applyAlignment="1">
      <alignment horizontal="center" vertical="center"/>
    </xf>
    <xf numFmtId="167" fontId="7" fillId="0" borderId="40" xfId="0" applyNumberFormat="1" applyFont="1" applyBorder="1" applyAlignment="1">
      <alignment horizontal="center" vertical="center"/>
    </xf>
    <xf numFmtId="167" fontId="7" fillId="0" borderId="26" xfId="0" applyNumberFormat="1" applyFont="1" applyBorder="1" applyAlignment="1">
      <alignment horizontal="center" vertical="center"/>
    </xf>
    <xf numFmtId="167" fontId="7" fillId="0" borderId="36" xfId="0" applyNumberFormat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 wrapText="1"/>
    </xf>
    <xf numFmtId="10" fontId="18" fillId="0" borderId="3" xfId="11" applyNumberFormat="1" applyFont="1" applyFill="1" applyBorder="1" applyAlignment="1">
      <alignment horizontal="center" vertical="center" wrapText="1"/>
    </xf>
    <xf numFmtId="169" fontId="18" fillId="0" borderId="3" xfId="16" applyNumberFormat="1" applyFont="1" applyFill="1" applyBorder="1" applyAlignment="1">
      <alignment horizontal="center"/>
    </xf>
    <xf numFmtId="169" fontId="18" fillId="0" borderId="3" xfId="16" applyNumberFormat="1" applyFont="1" applyFill="1" applyBorder="1" applyAlignment="1">
      <alignment horizontal="center" vertical="center"/>
    </xf>
    <xf numFmtId="9" fontId="18" fillId="0" borderId="3" xfId="16" applyFont="1" applyFill="1" applyBorder="1" applyAlignment="1">
      <alignment horizontal="center"/>
    </xf>
    <xf numFmtId="10" fontId="18" fillId="0" borderId="3" xfId="16" applyNumberFormat="1" applyFont="1" applyFill="1" applyBorder="1" applyAlignment="1">
      <alignment horizontal="center" wrapText="1"/>
    </xf>
    <xf numFmtId="9" fontId="18" fillId="0" borderId="3" xfId="16" applyFont="1" applyFill="1" applyBorder="1" applyAlignment="1">
      <alignment horizontal="center" vertical="center"/>
    </xf>
    <xf numFmtId="0" fontId="14" fillId="0" borderId="0" xfId="1" applyFont="1"/>
    <xf numFmtId="0" fontId="14" fillId="0" borderId="0" xfId="1" applyFont="1" applyAlignment="1">
      <alignment horizontal="left"/>
    </xf>
    <xf numFmtId="168" fontId="18" fillId="0" borderId="3" xfId="1" applyNumberFormat="1" applyFont="1" applyBorder="1" applyAlignment="1">
      <alignment horizontal="center" vertical="center" wrapText="1"/>
    </xf>
    <xf numFmtId="168" fontId="14" fillId="0" borderId="3" xfId="1" applyNumberFormat="1" applyFont="1" applyBorder="1" applyAlignment="1">
      <alignment horizontal="center" vertical="center" wrapText="1"/>
    </xf>
    <xf numFmtId="0" fontId="14" fillId="0" borderId="3" xfId="1" applyFont="1" applyBorder="1" applyAlignment="1">
      <alignment vertical="center" wrapText="1"/>
    </xf>
    <xf numFmtId="1" fontId="18" fillId="0" borderId="3" xfId="1" applyNumberFormat="1" applyFont="1" applyBorder="1" applyAlignment="1">
      <alignment horizontal="center" vertical="center" wrapText="1"/>
    </xf>
    <xf numFmtId="1" fontId="14" fillId="0" borderId="3" xfId="1" applyNumberFormat="1" applyFont="1" applyBorder="1" applyAlignment="1">
      <alignment horizontal="center" vertical="center" wrapText="1"/>
    </xf>
    <xf numFmtId="1" fontId="18" fillId="0" borderId="3" xfId="10" applyNumberFormat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left" vertical="top" wrapText="1"/>
    </xf>
    <xf numFmtId="168" fontId="18" fillId="0" borderId="3" xfId="1" applyNumberFormat="1" applyFont="1" applyBorder="1" applyAlignment="1">
      <alignment horizontal="center" vertical="top" wrapText="1"/>
    </xf>
    <xf numFmtId="168" fontId="27" fillId="0" borderId="3" xfId="1" applyNumberFormat="1" applyFont="1" applyBorder="1" applyAlignment="1">
      <alignment horizontal="center" vertical="top" wrapText="1"/>
    </xf>
    <xf numFmtId="168" fontId="14" fillId="0" borderId="3" xfId="1" applyNumberFormat="1" applyFont="1" applyBorder="1" applyAlignment="1">
      <alignment horizontal="center" vertical="top" wrapText="1"/>
    </xf>
    <xf numFmtId="0" fontId="14" fillId="0" borderId="0" xfId="1" applyFont="1" applyAlignment="1">
      <alignment horizontal="left" vertical="top"/>
    </xf>
    <xf numFmtId="168" fontId="18" fillId="0" borderId="3" xfId="0" applyNumberFormat="1" applyFont="1" applyBorder="1" applyAlignment="1">
      <alignment horizontal="center" vertical="top" wrapText="1"/>
    </xf>
    <xf numFmtId="168" fontId="14" fillId="0" borderId="3" xfId="0" applyNumberFormat="1" applyFont="1" applyBorder="1" applyAlignment="1">
      <alignment horizontal="center" vertical="top" wrapText="1"/>
    </xf>
    <xf numFmtId="0" fontId="18" fillId="0" borderId="3" xfId="10" applyFont="1" applyBorder="1" applyAlignment="1">
      <alignment vertical="top" wrapText="1"/>
    </xf>
    <xf numFmtId="10" fontId="18" fillId="0" borderId="3" xfId="0" applyNumberFormat="1" applyFont="1" applyBorder="1" applyAlignment="1">
      <alignment horizontal="center" wrapText="1"/>
    </xf>
    <xf numFmtId="4" fontId="14" fillId="0" borderId="3" xfId="1" applyNumberFormat="1" applyFont="1" applyBorder="1" applyAlignment="1">
      <alignment horizontal="left" vertical="center" wrapText="1"/>
    </xf>
    <xf numFmtId="4" fontId="18" fillId="0" borderId="3" xfId="1" applyNumberFormat="1" applyFont="1" applyBorder="1" applyAlignment="1">
      <alignment horizontal="center" wrapText="1"/>
    </xf>
    <xf numFmtId="4" fontId="18" fillId="0" borderId="3" xfId="1" applyNumberFormat="1" applyFont="1" applyBorder="1" applyAlignment="1">
      <alignment horizontal="center" vertical="center" wrapText="1"/>
    </xf>
    <xf numFmtId="2" fontId="18" fillId="0" borderId="3" xfId="1" applyNumberFormat="1" applyFont="1" applyBorder="1" applyAlignment="1">
      <alignment horizontal="center" wrapText="1"/>
    </xf>
    <xf numFmtId="2" fontId="18" fillId="0" borderId="3" xfId="1" applyNumberFormat="1" applyFont="1" applyBorder="1" applyAlignment="1">
      <alignment horizontal="center" vertical="center" wrapText="1"/>
    </xf>
    <xf numFmtId="10" fontId="14" fillId="0" borderId="0" xfId="1" applyNumberFormat="1" applyFont="1"/>
    <xf numFmtId="0" fontId="18" fillId="0" borderId="0" xfId="1" applyFont="1"/>
    <xf numFmtId="0" fontId="18" fillId="0" borderId="0" xfId="1" applyFont="1" applyAlignment="1">
      <alignment horizontal="left"/>
    </xf>
    <xf numFmtId="0" fontId="18" fillId="0" borderId="3" xfId="1" applyFont="1" applyBorder="1" applyAlignment="1">
      <alignment horizontal="center" vertical="center" wrapText="1"/>
    </xf>
    <xf numFmtId="168" fontId="18" fillId="0" borderId="3" xfId="1" applyNumberFormat="1" applyFont="1" applyBorder="1" applyAlignment="1">
      <alignment horizontal="center" vertical="center"/>
    </xf>
    <xf numFmtId="168" fontId="14" fillId="0" borderId="3" xfId="1" applyNumberFormat="1" applyFont="1" applyBorder="1" applyAlignment="1">
      <alignment horizontal="center" vertical="center"/>
    </xf>
    <xf numFmtId="1" fontId="18" fillId="0" borderId="3" xfId="0" applyNumberFormat="1" applyFont="1" applyBorder="1" applyAlignment="1">
      <alignment horizontal="center" vertical="center" wrapText="1"/>
    </xf>
    <xf numFmtId="1" fontId="18" fillId="0" borderId="3" xfId="1" applyNumberFormat="1" applyFont="1" applyBorder="1" applyAlignment="1">
      <alignment horizontal="center" vertical="center"/>
    </xf>
    <xf numFmtId="1" fontId="14" fillId="0" borderId="3" xfId="1" applyNumberFormat="1" applyFont="1" applyBorder="1" applyAlignment="1">
      <alignment horizontal="center" vertical="center"/>
    </xf>
    <xf numFmtId="0" fontId="18" fillId="0" borderId="3" xfId="1" applyFont="1" applyBorder="1" applyAlignment="1">
      <alignment horizontal="left" vertical="top" wrapText="1"/>
    </xf>
    <xf numFmtId="0" fontId="18" fillId="0" borderId="0" xfId="1" applyFont="1" applyAlignment="1">
      <alignment horizontal="left" vertical="top"/>
    </xf>
    <xf numFmtId="2" fontId="18" fillId="0" borderId="3" xfId="1" applyNumberFormat="1" applyFont="1" applyBorder="1" applyAlignment="1">
      <alignment horizontal="center" vertical="top" wrapText="1"/>
    </xf>
    <xf numFmtId="10" fontId="18" fillId="0" borderId="3" xfId="0" applyNumberFormat="1" applyFont="1" applyBorder="1" applyAlignment="1">
      <alignment horizontal="center" vertical="center" wrapText="1"/>
    </xf>
    <xf numFmtId="10" fontId="18" fillId="0" borderId="0" xfId="1" applyNumberFormat="1" applyFont="1"/>
    <xf numFmtId="0" fontId="18" fillId="0" borderId="3" xfId="1" applyFont="1" applyBorder="1" applyAlignment="1">
      <alignment vertical="center" wrapText="1"/>
    </xf>
    <xf numFmtId="169" fontId="14" fillId="0" borderId="3" xfId="16" applyNumberFormat="1" applyFont="1" applyFill="1" applyBorder="1" applyAlignment="1">
      <alignment horizontal="center"/>
    </xf>
    <xf numFmtId="0" fontId="14" fillId="0" borderId="2" xfId="1" applyFont="1" applyBorder="1" applyAlignment="1">
      <alignment horizontal="left" vertical="center" wrapText="1"/>
    </xf>
    <xf numFmtId="168" fontId="18" fillId="0" borderId="2" xfId="1" applyNumberFormat="1" applyFont="1" applyBorder="1" applyAlignment="1">
      <alignment horizontal="center" vertical="center" wrapText="1"/>
    </xf>
    <xf numFmtId="168" fontId="14" fillId="0" borderId="2" xfId="1" applyNumberFormat="1" applyFont="1" applyBorder="1" applyAlignment="1">
      <alignment horizontal="center" vertical="center" wrapText="1"/>
    </xf>
    <xf numFmtId="0" fontId="18" fillId="0" borderId="2" xfId="1" applyFont="1" applyBorder="1" applyAlignment="1">
      <alignment horizontal="left" vertical="center" wrapText="1"/>
    </xf>
    <xf numFmtId="168" fontId="18" fillId="0" borderId="2" xfId="1" applyNumberFormat="1" applyFont="1" applyBorder="1" applyAlignment="1">
      <alignment horizontal="center" vertical="center"/>
    </xf>
    <xf numFmtId="168" fontId="14" fillId="0" borderId="2" xfId="1" applyNumberFormat="1" applyFont="1" applyBorder="1" applyAlignment="1">
      <alignment horizontal="center" vertical="center"/>
    </xf>
    <xf numFmtId="164" fontId="15" fillId="5" borderId="23" xfId="1" applyNumberFormat="1" applyFont="1" applyFill="1" applyBorder="1" applyAlignment="1">
      <alignment horizontal="center" vertical="center" wrapText="1"/>
    </xf>
    <xf numFmtId="2" fontId="15" fillId="5" borderId="23" xfId="1" applyNumberFormat="1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horizontal="center" vertical="center" wrapText="1"/>
    </xf>
    <xf numFmtId="168" fontId="7" fillId="0" borderId="3" xfId="0" applyNumberFormat="1" applyFont="1" applyBorder="1" applyAlignment="1">
      <alignment horizontal="center" vertical="center"/>
    </xf>
    <xf numFmtId="0" fontId="8" fillId="0" borderId="23" xfId="1" applyFont="1" applyBorder="1"/>
    <xf numFmtId="0" fontId="14" fillId="0" borderId="0" xfId="1" applyFont="1" applyAlignment="1">
      <alignment horizontal="center" vertical="center" wrapText="1"/>
    </xf>
    <xf numFmtId="0" fontId="7" fillId="0" borderId="23" xfId="1" applyFont="1" applyBorder="1" applyAlignment="1">
      <alignment horizontal="center"/>
    </xf>
    <xf numFmtId="0" fontId="14" fillId="0" borderId="2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top" wrapText="1"/>
    </xf>
    <xf numFmtId="0" fontId="18" fillId="0" borderId="0" xfId="1" applyFont="1" applyAlignment="1">
      <alignment horizontal="center" vertical="center" wrapText="1"/>
    </xf>
    <xf numFmtId="0" fontId="17" fillId="0" borderId="23" xfId="1" applyFont="1" applyBorder="1" applyAlignment="1">
      <alignment horizontal="center"/>
    </xf>
    <xf numFmtId="0" fontId="18" fillId="0" borderId="2" xfId="1" applyFont="1" applyBorder="1" applyAlignment="1">
      <alignment horizontal="center" vertical="center" wrapText="1"/>
    </xf>
    <xf numFmtId="0" fontId="18" fillId="0" borderId="3" xfId="10" applyFont="1" applyBorder="1" applyAlignment="1">
      <alignment horizontal="center" vertical="center" wrapText="1"/>
    </xf>
    <xf numFmtId="2" fontId="14" fillId="0" borderId="42" xfId="1" applyNumberFormat="1" applyFont="1" applyBorder="1" applyAlignment="1">
      <alignment horizontal="center" vertical="center" wrapText="1"/>
    </xf>
    <xf numFmtId="2" fontId="14" fillId="0" borderId="43" xfId="1" applyNumberFormat="1" applyFont="1" applyBorder="1" applyAlignment="1">
      <alignment horizontal="center" vertical="center" wrapText="1"/>
    </xf>
    <xf numFmtId="2" fontId="18" fillId="0" borderId="43" xfId="1" applyNumberFormat="1" applyFont="1" applyBorder="1" applyAlignment="1">
      <alignment horizontal="center" vertical="center" wrapText="1"/>
    </xf>
    <xf numFmtId="2" fontId="18" fillId="0" borderId="43" xfId="1" applyNumberFormat="1" applyFont="1" applyBorder="1" applyAlignment="1">
      <alignment horizontal="center" vertical="top" wrapText="1"/>
    </xf>
    <xf numFmtId="2" fontId="18" fillId="0" borderId="42" xfId="1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0" fontId="14" fillId="7" borderId="4" xfId="1" applyFont="1" applyFill="1" applyBorder="1" applyAlignment="1">
      <alignment horizontal="center" vertical="center"/>
    </xf>
    <xf numFmtId="0" fontId="14" fillId="7" borderId="3" xfId="1" applyFont="1" applyFill="1" applyBorder="1" applyAlignment="1">
      <alignment horizontal="left" vertical="center" wrapText="1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168" fontId="14" fillId="0" borderId="0" xfId="1" applyNumberFormat="1" applyFont="1"/>
    <xf numFmtId="0" fontId="14" fillId="0" borderId="0" xfId="1" applyFont="1" applyAlignment="1">
      <alignment vertical="top"/>
    </xf>
    <xf numFmtId="168" fontId="18" fillId="0" borderId="3" xfId="0" applyNumberFormat="1" applyFont="1" applyBorder="1" applyAlignment="1">
      <alignment horizontal="center" vertical="center"/>
    </xf>
    <xf numFmtId="3" fontId="18" fillId="0" borderId="3" xfId="1" applyNumberFormat="1" applyFont="1" applyBorder="1" applyAlignment="1">
      <alignment horizontal="center"/>
    </xf>
    <xf numFmtId="168" fontId="27" fillId="0" borderId="3" xfId="1" applyNumberFormat="1" applyFont="1" applyBorder="1" applyAlignment="1">
      <alignment horizontal="center" vertical="center"/>
    </xf>
    <xf numFmtId="0" fontId="18" fillId="0" borderId="0" xfId="1" applyFont="1" applyAlignment="1">
      <alignment vertical="top"/>
    </xf>
    <xf numFmtId="4" fontId="18" fillId="0" borderId="3" xfId="1" applyNumberFormat="1" applyFont="1" applyBorder="1" applyAlignment="1">
      <alignment horizontal="center"/>
    </xf>
    <xf numFmtId="4" fontId="14" fillId="0" borderId="3" xfId="1" applyNumberFormat="1" applyFont="1" applyBorder="1" applyAlignment="1">
      <alignment horizontal="center"/>
    </xf>
    <xf numFmtId="9" fontId="18" fillId="0" borderId="3" xfId="16" applyFont="1" applyFill="1" applyBorder="1" applyAlignment="1">
      <alignment horizontal="center" vertical="top"/>
    </xf>
    <xf numFmtId="168" fontId="18" fillId="8" borderId="3" xfId="1" applyNumberFormat="1" applyFont="1" applyFill="1" applyBorder="1" applyAlignment="1">
      <alignment horizontal="center" vertical="center" wrapText="1"/>
    </xf>
    <xf numFmtId="168" fontId="18" fillId="8" borderId="3" xfId="1" applyNumberFormat="1" applyFont="1" applyFill="1" applyBorder="1" applyAlignment="1">
      <alignment horizontal="center" vertical="center"/>
    </xf>
    <xf numFmtId="1" fontId="18" fillId="8" borderId="3" xfId="1" applyNumberFormat="1" applyFont="1" applyFill="1" applyBorder="1" applyAlignment="1">
      <alignment horizontal="center" vertical="center" wrapText="1"/>
    </xf>
    <xf numFmtId="1" fontId="18" fillId="8" borderId="3" xfId="1" applyNumberFormat="1" applyFont="1" applyFill="1" applyBorder="1" applyAlignment="1">
      <alignment horizontal="center" vertical="center"/>
    </xf>
    <xf numFmtId="1" fontId="18" fillId="8" borderId="3" xfId="10" applyNumberFormat="1" applyFont="1" applyFill="1" applyBorder="1" applyAlignment="1">
      <alignment horizontal="center" vertical="center" wrapText="1"/>
    </xf>
    <xf numFmtId="1" fontId="18" fillId="8" borderId="3" xfId="10" applyNumberFormat="1" applyFont="1" applyFill="1" applyBorder="1" applyAlignment="1">
      <alignment horizontal="center" vertical="center"/>
    </xf>
    <xf numFmtId="1" fontId="14" fillId="0" borderId="3" xfId="10" applyNumberFormat="1" applyFont="1" applyBorder="1" applyAlignment="1">
      <alignment horizontal="center" vertical="center"/>
    </xf>
    <xf numFmtId="168" fontId="18" fillId="8" borderId="3" xfId="1" applyNumberFormat="1" applyFont="1" applyFill="1" applyBorder="1" applyAlignment="1">
      <alignment horizontal="center" vertical="top" wrapText="1"/>
    </xf>
    <xf numFmtId="2" fontId="18" fillId="8" borderId="3" xfId="1" applyNumberFormat="1" applyFont="1" applyFill="1" applyBorder="1" applyAlignment="1">
      <alignment horizontal="center" vertical="top" wrapText="1"/>
    </xf>
    <xf numFmtId="2" fontId="14" fillId="0" borderId="3" xfId="1" applyNumberFormat="1" applyFont="1" applyBorder="1" applyAlignment="1">
      <alignment horizontal="center" vertical="top" wrapText="1"/>
    </xf>
    <xf numFmtId="10" fontId="18" fillId="8" borderId="3" xfId="11" applyNumberFormat="1" applyFont="1" applyFill="1" applyBorder="1" applyAlignment="1">
      <alignment horizontal="center" vertical="center" wrapText="1"/>
    </xf>
    <xf numFmtId="10" fontId="14" fillId="0" borderId="3" xfId="18" applyNumberFormat="1" applyFont="1" applyBorder="1" applyAlignment="1">
      <alignment horizontal="center" vertical="center" wrapText="1"/>
    </xf>
    <xf numFmtId="10" fontId="18" fillId="8" borderId="3" xfId="0" applyNumberFormat="1" applyFont="1" applyFill="1" applyBorder="1" applyAlignment="1">
      <alignment horizontal="center" wrapText="1"/>
    </xf>
    <xf numFmtId="10" fontId="18" fillId="8" borderId="3" xfId="0" applyNumberFormat="1" applyFont="1" applyFill="1" applyBorder="1" applyAlignment="1">
      <alignment horizontal="center" vertical="center" wrapText="1"/>
    </xf>
    <xf numFmtId="10" fontId="14" fillId="0" borderId="3" xfId="0" applyNumberFormat="1" applyFont="1" applyBorder="1" applyAlignment="1">
      <alignment horizontal="center" wrapText="1"/>
    </xf>
    <xf numFmtId="10" fontId="14" fillId="0" borderId="3" xfId="0" applyNumberFormat="1" applyFont="1" applyBorder="1" applyAlignment="1">
      <alignment horizontal="center" vertical="center" wrapText="1"/>
    </xf>
    <xf numFmtId="3" fontId="18" fillId="8" borderId="3" xfId="1" applyNumberFormat="1" applyFont="1" applyFill="1" applyBorder="1" applyAlignment="1">
      <alignment horizontal="center" wrapText="1"/>
    </xf>
    <xf numFmtId="4" fontId="18" fillId="8" borderId="3" xfId="1" applyNumberFormat="1" applyFont="1" applyFill="1" applyBorder="1" applyAlignment="1">
      <alignment horizontal="center" wrapText="1"/>
    </xf>
    <xf numFmtId="3" fontId="18" fillId="8" borderId="3" xfId="1" applyNumberFormat="1" applyFont="1" applyFill="1" applyBorder="1" applyAlignment="1">
      <alignment horizontal="center"/>
    </xf>
    <xf numFmtId="164" fontId="18" fillId="8" borderId="3" xfId="1" applyNumberFormat="1" applyFont="1" applyFill="1" applyBorder="1" applyAlignment="1">
      <alignment horizontal="center" wrapText="1"/>
    </xf>
    <xf numFmtId="2" fontId="18" fillId="8" borderId="3" xfId="1" applyNumberFormat="1" applyFont="1" applyFill="1" applyBorder="1" applyAlignment="1">
      <alignment horizontal="center" vertical="center" wrapText="1"/>
    </xf>
    <xf numFmtId="3" fontId="14" fillId="0" borderId="3" xfId="1" applyNumberFormat="1" applyFont="1" applyBorder="1" applyAlignment="1">
      <alignment horizontal="center" wrapText="1"/>
    </xf>
    <xf numFmtId="4" fontId="14" fillId="0" borderId="3" xfId="1" applyNumberFormat="1" applyFont="1" applyBorder="1" applyAlignment="1">
      <alignment horizontal="center" wrapText="1"/>
    </xf>
    <xf numFmtId="3" fontId="14" fillId="0" borderId="3" xfId="1" applyNumberFormat="1" applyFont="1" applyBorder="1" applyAlignment="1">
      <alignment horizontal="center"/>
    </xf>
    <xf numFmtId="3" fontId="14" fillId="0" borderId="3" xfId="1" applyNumberFormat="1" applyFont="1" applyBorder="1" applyAlignment="1">
      <alignment horizontal="center" vertical="center" wrapText="1"/>
    </xf>
    <xf numFmtId="169" fontId="18" fillId="8" borderId="15" xfId="16" applyNumberFormat="1" applyFont="1" applyFill="1" applyBorder="1" applyAlignment="1">
      <alignment horizontal="center"/>
    </xf>
    <xf numFmtId="169" fontId="18" fillId="8" borderId="15" xfId="16" applyNumberFormat="1" applyFont="1" applyFill="1" applyBorder="1" applyAlignment="1">
      <alignment horizontal="center" vertical="center"/>
    </xf>
    <xf numFmtId="9" fontId="18" fillId="8" borderId="15" xfId="16" applyFont="1" applyFill="1" applyBorder="1" applyAlignment="1">
      <alignment horizontal="center"/>
    </xf>
    <xf numFmtId="10" fontId="18" fillId="8" borderId="15" xfId="16" applyNumberFormat="1" applyFont="1" applyFill="1" applyBorder="1" applyAlignment="1">
      <alignment horizontal="center"/>
    </xf>
    <xf numFmtId="9" fontId="18" fillId="8" borderId="15" xfId="16" applyFont="1" applyFill="1" applyBorder="1" applyAlignment="1">
      <alignment horizontal="center" vertical="center"/>
    </xf>
    <xf numFmtId="10" fontId="14" fillId="0" borderId="15" xfId="16" applyNumberFormat="1" applyFont="1" applyBorder="1" applyAlignment="1">
      <alignment horizontal="center" vertical="center" wrapText="1"/>
    </xf>
    <xf numFmtId="169" fontId="14" fillId="0" borderId="38" xfId="16" applyNumberFormat="1" applyFont="1" applyBorder="1" applyAlignment="1">
      <alignment horizontal="center"/>
    </xf>
    <xf numFmtId="10" fontId="14" fillId="0" borderId="38" xfId="16" applyNumberFormat="1" applyFont="1" applyBorder="1" applyAlignment="1">
      <alignment horizontal="center"/>
    </xf>
    <xf numFmtId="9" fontId="14" fillId="0" borderId="38" xfId="16" applyFont="1" applyBorder="1" applyAlignment="1">
      <alignment horizontal="center"/>
    </xf>
    <xf numFmtId="9" fontId="14" fillId="0" borderId="38" xfId="16" applyFont="1" applyBorder="1" applyAlignment="1">
      <alignment horizontal="center" vertical="top"/>
    </xf>
    <xf numFmtId="168" fontId="18" fillId="0" borderId="3" xfId="19" applyNumberFormat="1" applyFont="1" applyBorder="1" applyAlignment="1">
      <alignment horizontal="center" vertical="center"/>
    </xf>
    <xf numFmtId="1" fontId="18" fillId="0" borderId="3" xfId="19" applyNumberFormat="1" applyFont="1" applyBorder="1" applyAlignment="1">
      <alignment horizontal="center" vertical="center"/>
    </xf>
    <xf numFmtId="1" fontId="28" fillId="0" borderId="3" xfId="10" applyNumberFormat="1" applyFont="1" applyBorder="1" applyAlignment="1">
      <alignment horizontal="center" vertical="center"/>
    </xf>
    <xf numFmtId="1" fontId="18" fillId="0" borderId="3" xfId="10" applyNumberFormat="1" applyFont="1" applyBorder="1" applyAlignment="1">
      <alignment horizontal="center" vertical="center"/>
    </xf>
    <xf numFmtId="10" fontId="18" fillId="0" borderId="3" xfId="18" applyNumberFormat="1" applyFont="1" applyBorder="1" applyAlignment="1">
      <alignment horizontal="center" vertical="center" wrapText="1"/>
    </xf>
    <xf numFmtId="10" fontId="18" fillId="0" borderId="3" xfId="18" applyNumberFormat="1" applyFont="1" applyFill="1" applyBorder="1" applyAlignment="1">
      <alignment horizontal="center" vertical="center" wrapText="1"/>
    </xf>
    <xf numFmtId="3" fontId="18" fillId="0" borderId="3" xfId="1" applyNumberFormat="1" applyFont="1" applyBorder="1" applyAlignment="1">
      <alignment horizontal="center" wrapText="1"/>
    </xf>
    <xf numFmtId="164" fontId="18" fillId="0" borderId="3" xfId="1" applyNumberFormat="1" applyFont="1" applyBorder="1" applyAlignment="1">
      <alignment horizontal="center" wrapText="1"/>
    </xf>
    <xf numFmtId="3" fontId="18" fillId="0" borderId="3" xfId="1" applyNumberFormat="1" applyFont="1" applyBorder="1" applyAlignment="1">
      <alignment horizontal="center" vertical="center" wrapText="1"/>
    </xf>
    <xf numFmtId="3" fontId="14" fillId="0" borderId="3" xfId="1" applyNumberFormat="1" applyFont="1" applyBorder="1" applyAlignment="1">
      <alignment horizontal="center" vertical="center"/>
    </xf>
    <xf numFmtId="2" fontId="18" fillId="0" borderId="3" xfId="1" applyNumberFormat="1" applyFont="1" applyBorder="1" applyAlignment="1">
      <alignment horizontal="center" vertical="center"/>
    </xf>
    <xf numFmtId="3" fontId="18" fillId="0" borderId="3" xfId="12" applyNumberFormat="1" applyFont="1" applyBorder="1" applyAlignment="1">
      <alignment horizontal="center" vertical="center"/>
    </xf>
    <xf numFmtId="10" fontId="14" fillId="0" borderId="15" xfId="16" applyNumberFormat="1" applyFont="1" applyBorder="1" applyAlignment="1">
      <alignment horizontal="center"/>
    </xf>
    <xf numFmtId="10" fontId="14" fillId="0" borderId="15" xfId="16" applyNumberFormat="1" applyFont="1" applyBorder="1" applyAlignment="1">
      <alignment horizontal="center" vertical="center"/>
    </xf>
    <xf numFmtId="10" fontId="18" fillId="0" borderId="15" xfId="16" applyNumberFormat="1" applyFont="1" applyBorder="1" applyAlignment="1">
      <alignment horizontal="center" vertical="center"/>
    </xf>
    <xf numFmtId="10" fontId="28" fillId="0" borderId="15" xfId="16" applyNumberFormat="1" applyFont="1" applyBorder="1" applyAlignment="1">
      <alignment horizontal="center"/>
    </xf>
    <xf numFmtId="10" fontId="18" fillId="0" borderId="15" xfId="16" applyNumberFormat="1" applyFont="1" applyFill="1" applyBorder="1" applyAlignment="1">
      <alignment horizontal="center" vertical="center" wrapText="1"/>
    </xf>
    <xf numFmtId="169" fontId="18" fillId="0" borderId="15" xfId="16" applyNumberFormat="1" applyFont="1" applyFill="1" applyBorder="1" applyAlignment="1">
      <alignment horizontal="center" vertical="center"/>
    </xf>
    <xf numFmtId="10" fontId="14" fillId="0" borderId="15" xfId="16" applyNumberFormat="1" applyFont="1" applyFill="1" applyBorder="1" applyAlignment="1">
      <alignment horizontal="center" vertical="center"/>
    </xf>
    <xf numFmtId="9" fontId="14" fillId="0" borderId="15" xfId="16" applyFont="1" applyFill="1" applyBorder="1" applyAlignment="1">
      <alignment horizontal="center" vertical="center"/>
    </xf>
    <xf numFmtId="9" fontId="14" fillId="0" borderId="44" xfId="16" applyFont="1" applyFill="1" applyBorder="1" applyAlignment="1">
      <alignment horizontal="center" vertical="center"/>
    </xf>
    <xf numFmtId="9" fontId="18" fillId="0" borderId="15" xfId="16" applyFont="1" applyFill="1" applyBorder="1" applyAlignment="1">
      <alignment horizontal="center" vertical="center"/>
    </xf>
    <xf numFmtId="165" fontId="17" fillId="0" borderId="7" xfId="2" applyNumberFormat="1" applyFont="1" applyFill="1" applyBorder="1" applyAlignment="1" applyProtection="1">
      <alignment horizontal="center" vertical="center" wrapText="1"/>
    </xf>
    <xf numFmtId="165" fontId="17" fillId="0" borderId="20" xfId="1" applyNumberFormat="1" applyFont="1" applyBorder="1" applyAlignment="1">
      <alignment horizontal="center" vertical="center"/>
    </xf>
    <xf numFmtId="2" fontId="11" fillId="2" borderId="20" xfId="1" applyNumberFormat="1" applyFont="1" applyFill="1" applyBorder="1" applyAlignment="1">
      <alignment horizontal="center" vertical="center"/>
    </xf>
    <xf numFmtId="2" fontId="7" fillId="0" borderId="0" xfId="0" applyNumberFormat="1" applyFont="1" applyAlignment="1">
      <alignment horizontal="center"/>
    </xf>
    <xf numFmtId="0" fontId="14" fillId="0" borderId="3" xfId="1" applyFont="1" applyBorder="1" applyAlignment="1">
      <alignment horizontal="center"/>
    </xf>
    <xf numFmtId="10" fontId="14" fillId="0" borderId="3" xfId="18" applyNumberFormat="1" applyFont="1" applyFill="1" applyBorder="1" applyAlignment="1">
      <alignment horizontal="center" vertical="center" wrapText="1"/>
    </xf>
    <xf numFmtId="0" fontId="15" fillId="5" borderId="27" xfId="1" applyFont="1" applyFill="1" applyBorder="1" applyAlignment="1">
      <alignment horizontal="center" vertical="center" wrapText="1"/>
    </xf>
    <xf numFmtId="168" fontId="18" fillId="0" borderId="11" xfId="1" applyNumberFormat="1" applyFont="1" applyBorder="1" applyAlignment="1">
      <alignment horizontal="center" vertical="center" wrapText="1"/>
    </xf>
    <xf numFmtId="168" fontId="18" fillId="0" borderId="7" xfId="1" applyNumberFormat="1" applyFont="1" applyBorder="1" applyAlignment="1">
      <alignment horizontal="center" vertical="center" wrapText="1"/>
    </xf>
    <xf numFmtId="1" fontId="18" fillId="0" borderId="7" xfId="1" applyNumberFormat="1" applyFont="1" applyBorder="1" applyAlignment="1">
      <alignment horizontal="center" vertical="center" wrapText="1"/>
    </xf>
    <xf numFmtId="1" fontId="18" fillId="0" borderId="7" xfId="10" applyNumberFormat="1" applyFont="1" applyBorder="1" applyAlignment="1">
      <alignment horizontal="center" vertical="center" wrapText="1"/>
    </xf>
    <xf numFmtId="168" fontId="18" fillId="0" borderId="7" xfId="1" applyNumberFormat="1" applyFont="1" applyBorder="1" applyAlignment="1">
      <alignment horizontal="center" vertical="top" wrapText="1"/>
    </xf>
    <xf numFmtId="168" fontId="18" fillId="0" borderId="7" xfId="0" applyNumberFormat="1" applyFont="1" applyBorder="1" applyAlignment="1">
      <alignment horizontal="center" vertical="top" wrapText="1"/>
    </xf>
    <xf numFmtId="10" fontId="18" fillId="0" borderId="7" xfId="11" applyNumberFormat="1" applyFont="1" applyFill="1" applyBorder="1" applyAlignment="1">
      <alignment horizontal="center" vertical="center" wrapText="1"/>
    </xf>
    <xf numFmtId="10" fontId="18" fillId="0" borderId="7" xfId="0" applyNumberFormat="1" applyFont="1" applyBorder="1" applyAlignment="1">
      <alignment horizontal="center" wrapText="1"/>
    </xf>
    <xf numFmtId="4" fontId="18" fillId="0" borderId="7" xfId="1" applyNumberFormat="1" applyFont="1" applyBorder="1" applyAlignment="1">
      <alignment horizontal="center" wrapText="1"/>
    </xf>
    <xf numFmtId="10" fontId="18" fillId="0" borderId="7" xfId="16" applyNumberFormat="1" applyFont="1" applyFill="1" applyBorder="1" applyAlignment="1">
      <alignment horizontal="center" wrapText="1"/>
    </xf>
    <xf numFmtId="168" fontId="14" fillId="0" borderId="7" xfId="1" applyNumberFormat="1" applyFont="1" applyBorder="1" applyAlignment="1">
      <alignment horizontal="center" vertical="center" wrapText="1"/>
    </xf>
    <xf numFmtId="1" fontId="14" fillId="0" borderId="7" xfId="1" applyNumberFormat="1" applyFont="1" applyBorder="1" applyAlignment="1">
      <alignment horizontal="center" vertical="center" wrapText="1"/>
    </xf>
    <xf numFmtId="1" fontId="14" fillId="0" borderId="7" xfId="10" applyNumberFormat="1" applyFont="1" applyBorder="1" applyAlignment="1">
      <alignment horizontal="center" vertical="center" wrapText="1"/>
    </xf>
    <xf numFmtId="168" fontId="14" fillId="0" borderId="7" xfId="1" applyNumberFormat="1" applyFont="1" applyBorder="1" applyAlignment="1">
      <alignment horizontal="center" vertical="top" wrapText="1"/>
    </xf>
    <xf numFmtId="10" fontId="14" fillId="0" borderId="7" xfId="18" applyNumberFormat="1" applyFont="1" applyFill="1" applyBorder="1" applyAlignment="1">
      <alignment horizontal="center" vertical="center" wrapText="1"/>
    </xf>
    <xf numFmtId="10" fontId="14" fillId="0" borderId="7" xfId="18" applyNumberFormat="1" applyFont="1" applyBorder="1" applyAlignment="1">
      <alignment horizontal="center" vertical="center" wrapText="1"/>
    </xf>
    <xf numFmtId="10" fontId="14" fillId="0" borderId="7" xfId="0" applyNumberFormat="1" applyFont="1" applyBorder="1" applyAlignment="1">
      <alignment horizontal="center" wrapText="1"/>
    </xf>
    <xf numFmtId="3" fontId="14" fillId="0" borderId="7" xfId="1" applyNumberFormat="1" applyFont="1" applyBorder="1" applyAlignment="1">
      <alignment horizontal="center" wrapText="1"/>
    </xf>
    <xf numFmtId="10" fontId="14" fillId="0" borderId="21" xfId="16" applyNumberFormat="1" applyFont="1" applyBorder="1" applyAlignment="1">
      <alignment horizontal="center" vertical="center" wrapText="1"/>
    </xf>
    <xf numFmtId="10" fontId="18" fillId="0" borderId="7" xfId="18" applyNumberFormat="1" applyFont="1" applyFill="1" applyBorder="1" applyAlignment="1">
      <alignment horizontal="center" vertical="center" wrapText="1"/>
    </xf>
    <xf numFmtId="10" fontId="18" fillId="0" borderId="7" xfId="18" applyNumberFormat="1" applyFont="1" applyBorder="1" applyAlignment="1">
      <alignment horizontal="center" vertical="center" wrapText="1"/>
    </xf>
    <xf numFmtId="3" fontId="18" fillId="0" borderId="7" xfId="1" applyNumberFormat="1" applyFont="1" applyBorder="1" applyAlignment="1">
      <alignment horizontal="center" wrapText="1"/>
    </xf>
    <xf numFmtId="10" fontId="14" fillId="0" borderId="21" xfId="16" applyNumberFormat="1" applyFont="1" applyBorder="1" applyAlignment="1">
      <alignment horizontal="center"/>
    </xf>
    <xf numFmtId="168" fontId="14" fillId="0" borderId="11" xfId="1" applyNumberFormat="1" applyFont="1" applyBorder="1" applyAlignment="1">
      <alignment horizontal="center" vertical="center" wrapText="1"/>
    </xf>
    <xf numFmtId="1" fontId="27" fillId="0" borderId="7" xfId="10" applyNumberFormat="1" applyFont="1" applyBorder="1" applyAlignment="1">
      <alignment horizontal="center" vertical="center" wrapText="1"/>
    </xf>
    <xf numFmtId="168" fontId="27" fillId="0" borderId="7" xfId="1" applyNumberFormat="1" applyFont="1" applyBorder="1" applyAlignment="1">
      <alignment horizontal="center" vertical="top" wrapText="1"/>
    </xf>
    <xf numFmtId="10" fontId="18" fillId="0" borderId="7" xfId="0" applyNumberFormat="1" applyFont="1" applyBorder="1" applyAlignment="1">
      <alignment horizontal="center" vertical="center" wrapText="1"/>
    </xf>
    <xf numFmtId="3" fontId="18" fillId="0" borderId="7" xfId="1" applyNumberFormat="1" applyFont="1" applyBorder="1" applyAlignment="1">
      <alignment horizontal="center" vertical="center" wrapText="1"/>
    </xf>
    <xf numFmtId="10" fontId="18" fillId="0" borderId="21" xfId="16" applyNumberFormat="1" applyFont="1" applyFill="1" applyBorder="1" applyAlignment="1">
      <alignment horizontal="center" vertical="center" wrapText="1"/>
    </xf>
    <xf numFmtId="0" fontId="14" fillId="0" borderId="19" xfId="0" applyFont="1" applyBorder="1"/>
    <xf numFmtId="0" fontId="14" fillId="0" borderId="19" xfId="0" applyFont="1" applyBorder="1" applyAlignment="1">
      <alignment horizontal="center"/>
    </xf>
    <xf numFmtId="0" fontId="15" fillId="5" borderId="29" xfId="1" applyFont="1" applyFill="1" applyBorder="1" applyAlignment="1">
      <alignment horizontal="center" vertical="center" wrapText="1"/>
    </xf>
    <xf numFmtId="168" fontId="14" fillId="0" borderId="26" xfId="1" applyNumberFormat="1" applyFont="1" applyBorder="1" applyAlignment="1">
      <alignment horizontal="center" vertical="center" wrapText="1"/>
    </xf>
    <xf numFmtId="168" fontId="14" fillId="0" borderId="20" xfId="1" applyNumberFormat="1" applyFont="1" applyBorder="1" applyAlignment="1">
      <alignment horizontal="center" vertical="center" wrapText="1"/>
    </xf>
    <xf numFmtId="2" fontId="14" fillId="0" borderId="20" xfId="16" applyNumberFormat="1" applyFont="1" applyFill="1" applyBorder="1" applyAlignment="1">
      <alignment horizontal="center" vertical="center" wrapText="1"/>
    </xf>
    <xf numFmtId="10" fontId="18" fillId="0" borderId="20" xfId="11" applyNumberFormat="1" applyFont="1" applyFill="1" applyBorder="1" applyAlignment="1">
      <alignment horizontal="center" vertical="center" wrapText="1"/>
    </xf>
    <xf numFmtId="10" fontId="18" fillId="0" borderId="20" xfId="0" applyNumberFormat="1" applyFont="1" applyBorder="1" applyAlignment="1">
      <alignment horizontal="center" wrapText="1"/>
    </xf>
    <xf numFmtId="9" fontId="14" fillId="0" borderId="20" xfId="16" applyFont="1" applyFill="1" applyBorder="1" applyAlignment="1">
      <alignment horizontal="center" vertical="center" wrapText="1"/>
    </xf>
    <xf numFmtId="2" fontId="18" fillId="8" borderId="20" xfId="17" applyNumberFormat="1" applyFont="1" applyFill="1" applyBorder="1" applyAlignment="1">
      <alignment horizontal="center" vertical="center" wrapText="1"/>
    </xf>
    <xf numFmtId="168" fontId="18" fillId="8" borderId="46" xfId="1" applyNumberFormat="1" applyFont="1" applyFill="1" applyBorder="1" applyAlignment="1">
      <alignment horizontal="center" vertical="center" wrapText="1"/>
    </xf>
    <xf numFmtId="10" fontId="18" fillId="0" borderId="20" xfId="18" applyNumberFormat="1" applyFont="1" applyFill="1" applyBorder="1" applyAlignment="1">
      <alignment horizontal="center" vertical="center" wrapText="1"/>
    </xf>
    <xf numFmtId="10" fontId="18" fillId="8" borderId="20" xfId="18" applyNumberFormat="1" applyFont="1" applyFill="1" applyBorder="1" applyAlignment="1">
      <alignment horizontal="center" vertical="center" wrapText="1"/>
    </xf>
    <xf numFmtId="10" fontId="18" fillId="8" borderId="20" xfId="0" applyNumberFormat="1" applyFont="1" applyFill="1" applyBorder="1" applyAlignment="1">
      <alignment horizontal="center" wrapText="1"/>
    </xf>
    <xf numFmtId="169" fontId="14" fillId="0" borderId="20" xfId="16" applyNumberFormat="1" applyFont="1" applyFill="1" applyBorder="1" applyAlignment="1">
      <alignment horizontal="center" vertical="center" wrapText="1"/>
    </xf>
    <xf numFmtId="2" fontId="18" fillId="0" borderId="20" xfId="17" applyNumberFormat="1" applyFont="1" applyBorder="1" applyAlignment="1">
      <alignment horizontal="center" vertical="center" wrapText="1"/>
    </xf>
    <xf numFmtId="168" fontId="18" fillId="0" borderId="20" xfId="1" applyNumberFormat="1" applyFont="1" applyBorder="1" applyAlignment="1">
      <alignment horizontal="center" vertical="center" wrapText="1"/>
    </xf>
    <xf numFmtId="168" fontId="18" fillId="0" borderId="46" xfId="1" applyNumberFormat="1" applyFont="1" applyBorder="1" applyAlignment="1">
      <alignment horizontal="center" vertical="center" wrapText="1"/>
    </xf>
    <xf numFmtId="4" fontId="14" fillId="0" borderId="20" xfId="17" applyNumberFormat="1" applyFont="1" applyBorder="1" applyAlignment="1">
      <alignment horizontal="center" vertical="center"/>
    </xf>
    <xf numFmtId="168" fontId="14" fillId="0" borderId="46" xfId="1" applyNumberFormat="1" applyFont="1" applyBorder="1" applyAlignment="1">
      <alignment horizontal="center" vertical="center" wrapText="1"/>
    </xf>
    <xf numFmtId="2" fontId="14" fillId="0" borderId="20" xfId="17" applyNumberFormat="1" applyFont="1" applyBorder="1" applyAlignment="1">
      <alignment horizontal="center" vertical="center" wrapText="1"/>
    </xf>
    <xf numFmtId="10" fontId="14" fillId="0" borderId="20" xfId="18" applyNumberFormat="1" applyFont="1" applyFill="1" applyBorder="1" applyAlignment="1">
      <alignment horizontal="center" vertical="center" wrapText="1"/>
    </xf>
    <xf numFmtId="10" fontId="14" fillId="0" borderId="20" xfId="18" applyNumberFormat="1" applyFont="1" applyBorder="1" applyAlignment="1">
      <alignment horizontal="center" vertical="center" wrapText="1"/>
    </xf>
    <xf numFmtId="10" fontId="14" fillId="0" borderId="20" xfId="0" applyNumberFormat="1" applyFont="1" applyBorder="1" applyAlignment="1">
      <alignment horizontal="center" wrapText="1"/>
    </xf>
    <xf numFmtId="3" fontId="14" fillId="0" borderId="20" xfId="17" applyNumberFormat="1" applyFont="1" applyBorder="1" applyAlignment="1">
      <alignment horizontal="center"/>
    </xf>
    <xf numFmtId="10" fontId="18" fillId="0" borderId="20" xfId="18" applyNumberFormat="1" applyFont="1" applyBorder="1" applyAlignment="1">
      <alignment horizontal="center" vertical="center" wrapText="1"/>
    </xf>
    <xf numFmtId="10" fontId="29" fillId="0" borderId="20" xfId="0" applyNumberFormat="1" applyFont="1" applyBorder="1" applyAlignment="1">
      <alignment horizontal="center" wrapText="1"/>
    </xf>
    <xf numFmtId="10" fontId="18" fillId="0" borderId="20" xfId="0" applyNumberFormat="1" applyFont="1" applyBorder="1" applyAlignment="1">
      <alignment horizontal="center" vertical="center" wrapText="1"/>
    </xf>
    <xf numFmtId="2" fontId="17" fillId="0" borderId="7" xfId="2" applyNumberFormat="1" applyFont="1" applyFill="1" applyBorder="1" applyAlignment="1" applyProtection="1">
      <alignment horizontal="center" vertical="center" wrapText="1"/>
    </xf>
    <xf numFmtId="2" fontId="17" fillId="0" borderId="20" xfId="2" applyNumberFormat="1" applyFont="1" applyFill="1" applyBorder="1" applyAlignment="1" applyProtection="1">
      <alignment horizontal="center" vertical="center" wrapText="1"/>
    </xf>
    <xf numFmtId="0" fontId="7" fillId="0" borderId="3" xfId="1" applyFont="1" applyBorder="1" applyAlignment="1">
      <alignment horizontal="right"/>
    </xf>
    <xf numFmtId="0" fontId="8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167" fontId="8" fillId="0" borderId="3" xfId="0" applyNumberFormat="1" applyFont="1" applyBorder="1" applyAlignment="1">
      <alignment horizontal="center" vertical="center"/>
    </xf>
    <xf numFmtId="0" fontId="14" fillId="0" borderId="0" xfId="1" applyFont="1" applyAlignment="1">
      <alignment horizontal="left" vertical="top" wrapText="1"/>
    </xf>
    <xf numFmtId="0" fontId="14" fillId="0" borderId="0" xfId="1" applyFont="1" applyAlignment="1">
      <alignment horizontal="center" vertical="top" wrapText="1"/>
    </xf>
    <xf numFmtId="2" fontId="18" fillId="0" borderId="19" xfId="1" applyNumberFormat="1" applyFont="1" applyBorder="1" applyAlignment="1">
      <alignment horizontal="center" vertical="center" wrapText="1"/>
    </xf>
    <xf numFmtId="2" fontId="18" fillId="0" borderId="0" xfId="1" applyNumberFormat="1" applyFont="1" applyAlignment="1">
      <alignment horizontal="center" vertical="center" wrapText="1"/>
    </xf>
    <xf numFmtId="2" fontId="18" fillId="0" borderId="8" xfId="1" applyNumberFormat="1" applyFont="1" applyBorder="1" applyAlignment="1">
      <alignment horizontal="center" vertical="center" wrapText="1"/>
    </xf>
    <xf numFmtId="2" fontId="0" fillId="0" borderId="0" xfId="0" applyNumberFormat="1"/>
    <xf numFmtId="0" fontId="7" fillId="9" borderId="3" xfId="1" applyFont="1" applyFill="1" applyBorder="1" applyAlignment="1">
      <alignment horizontal="right"/>
    </xf>
    <xf numFmtId="0" fontId="7" fillId="9" borderId="3" xfId="0" applyFont="1" applyFill="1" applyBorder="1" applyAlignment="1">
      <alignment horizontal="center" vertical="center"/>
    </xf>
    <xf numFmtId="167" fontId="7" fillId="9" borderId="3" xfId="0" applyNumberFormat="1" applyFont="1" applyFill="1" applyBorder="1" applyAlignment="1">
      <alignment horizontal="center" vertical="center"/>
    </xf>
    <xf numFmtId="2" fontId="7" fillId="0" borderId="28" xfId="3" applyNumberFormat="1" applyFont="1" applyBorder="1" applyAlignment="1">
      <alignment horizontal="center" vertical="center" wrapText="1"/>
    </xf>
    <xf numFmtId="0" fontId="14" fillId="6" borderId="3" xfId="1" applyFont="1" applyFill="1" applyBorder="1" applyAlignment="1">
      <alignment horizontal="center" vertical="center"/>
    </xf>
    <xf numFmtId="0" fontId="14" fillId="7" borderId="3" xfId="1" applyFont="1" applyFill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2" fontId="18" fillId="8" borderId="20" xfId="1" applyNumberFormat="1" applyFont="1" applyFill="1" applyBorder="1" applyAlignment="1">
      <alignment horizontal="center" vertical="center" wrapText="1"/>
    </xf>
    <xf numFmtId="2" fontId="14" fillId="0" borderId="7" xfId="1" applyNumberFormat="1" applyFont="1" applyBorder="1" applyAlignment="1">
      <alignment horizontal="center" vertical="center" wrapText="1"/>
    </xf>
    <xf numFmtId="2" fontId="14" fillId="0" borderId="3" xfId="1" applyNumberFormat="1" applyFont="1" applyBorder="1" applyAlignment="1">
      <alignment horizontal="center" vertical="center" wrapText="1"/>
    </xf>
    <xf numFmtId="2" fontId="18" fillId="0" borderId="7" xfId="1" applyNumberFormat="1" applyFont="1" applyBorder="1" applyAlignment="1">
      <alignment horizontal="center" vertical="center" wrapText="1"/>
    </xf>
    <xf numFmtId="2" fontId="18" fillId="0" borderId="20" xfId="17" applyNumberFormat="1" applyFont="1" applyBorder="1" applyAlignment="1">
      <alignment horizontal="center" vertical="center"/>
    </xf>
    <xf numFmtId="2" fontId="14" fillId="0" borderId="20" xfId="17" applyNumberFormat="1" applyFont="1" applyBorder="1" applyAlignment="1">
      <alignment horizontal="center" vertical="center"/>
    </xf>
    <xf numFmtId="2" fontId="28" fillId="0" borderId="20" xfId="17" applyNumberFormat="1" applyFont="1" applyBorder="1" applyAlignment="1">
      <alignment horizontal="center" vertical="center"/>
    </xf>
    <xf numFmtId="2" fontId="18" fillId="8" borderId="20" xfId="17" applyNumberFormat="1" applyFont="1" applyFill="1" applyBorder="1" applyAlignment="1">
      <alignment horizontal="center" vertical="center"/>
    </xf>
    <xf numFmtId="2" fontId="14" fillId="0" borderId="7" xfId="1" applyNumberFormat="1" applyFont="1" applyBorder="1" applyAlignment="1">
      <alignment horizontal="center" vertical="top" wrapText="1"/>
    </xf>
    <xf numFmtId="2" fontId="14" fillId="0" borderId="3" xfId="1" applyNumberFormat="1" applyFont="1" applyBorder="1" applyAlignment="1">
      <alignment horizontal="center" vertical="center"/>
    </xf>
    <xf numFmtId="2" fontId="18" fillId="0" borderId="7" xfId="1" applyNumberFormat="1" applyFont="1" applyBorder="1" applyAlignment="1">
      <alignment horizontal="center" vertical="top" wrapText="1"/>
    </xf>
    <xf numFmtId="2" fontId="18" fillId="0" borderId="3" xfId="10" applyNumberFormat="1" applyFont="1" applyBorder="1" applyAlignment="1">
      <alignment horizontal="center" vertical="center"/>
    </xf>
    <xf numFmtId="2" fontId="18" fillId="0" borderId="3" xfId="19" applyNumberFormat="1" applyFont="1" applyBorder="1" applyAlignment="1">
      <alignment horizontal="center" vertical="center"/>
    </xf>
    <xf numFmtId="2" fontId="28" fillId="0" borderId="3" xfId="1" applyNumberFormat="1" applyFont="1" applyBorder="1" applyAlignment="1">
      <alignment horizontal="center" vertical="center"/>
    </xf>
    <xf numFmtId="168" fontId="18" fillId="0" borderId="7" xfId="1" applyNumberFormat="1" applyFont="1" applyBorder="1" applyAlignment="1">
      <alignment horizontal="center" vertical="center"/>
    </xf>
    <xf numFmtId="168" fontId="14" fillId="0" borderId="7" xfId="1" applyNumberFormat="1" applyFont="1" applyBorder="1" applyAlignment="1">
      <alignment horizontal="center" vertical="center"/>
    </xf>
    <xf numFmtId="1" fontId="18" fillId="0" borderId="7" xfId="1" applyNumberFormat="1" applyFont="1" applyBorder="1" applyAlignment="1">
      <alignment horizontal="center" vertical="center"/>
    </xf>
    <xf numFmtId="1" fontId="14" fillId="0" borderId="7" xfId="1" applyNumberFormat="1" applyFont="1" applyBorder="1" applyAlignment="1">
      <alignment horizontal="center" vertical="center"/>
    </xf>
    <xf numFmtId="1" fontId="18" fillId="0" borderId="7" xfId="10" applyNumberFormat="1" applyFont="1" applyBorder="1" applyAlignment="1">
      <alignment horizontal="center" vertical="center"/>
    </xf>
    <xf numFmtId="1" fontId="27" fillId="0" borderId="7" xfId="10" applyNumberFormat="1" applyFont="1" applyBorder="1" applyAlignment="1">
      <alignment horizontal="center" vertical="center"/>
    </xf>
    <xf numFmtId="2" fontId="18" fillId="0" borderId="7" xfId="1" applyNumberFormat="1" applyFont="1" applyBorder="1" applyAlignment="1">
      <alignment horizontal="center" vertical="center"/>
    </xf>
    <xf numFmtId="2" fontId="27" fillId="0" borderId="7" xfId="1" applyNumberFormat="1" applyFont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/>
    </xf>
    <xf numFmtId="2" fontId="18" fillId="0" borderId="3" xfId="0" applyNumberFormat="1" applyFont="1" applyBorder="1" applyAlignment="1">
      <alignment horizontal="center" vertical="top" wrapText="1"/>
    </xf>
    <xf numFmtId="10" fontId="18" fillId="0" borderId="3" xfId="0" applyNumberFormat="1" applyFont="1" applyBorder="1" applyAlignment="1">
      <alignment wrapText="1"/>
    </xf>
    <xf numFmtId="3" fontId="18" fillId="0" borderId="7" xfId="1" applyNumberFormat="1" applyFont="1" applyBorder="1" applyAlignment="1">
      <alignment horizontal="center"/>
    </xf>
    <xf numFmtId="3" fontId="14" fillId="0" borderId="7" xfId="1" applyNumberFormat="1" applyFont="1" applyBorder="1" applyAlignment="1">
      <alignment horizontal="center"/>
    </xf>
    <xf numFmtId="10" fontId="18" fillId="0" borderId="15" xfId="1" applyNumberFormat="1" applyFont="1" applyBorder="1" applyAlignment="1">
      <alignment horizontal="center" vertical="center"/>
    </xf>
    <xf numFmtId="10" fontId="18" fillId="0" borderId="21" xfId="1" applyNumberFormat="1" applyFont="1" applyBorder="1" applyAlignment="1">
      <alignment horizontal="center" vertical="center"/>
    </xf>
    <xf numFmtId="10" fontId="14" fillId="0" borderId="7" xfId="1" applyNumberFormat="1" applyFont="1" applyBorder="1" applyAlignment="1">
      <alignment horizontal="center" vertical="center"/>
    </xf>
    <xf numFmtId="169" fontId="14" fillId="0" borderId="3" xfId="16" applyNumberFormat="1" applyFont="1" applyFill="1" applyBorder="1" applyAlignment="1">
      <alignment horizontal="center" vertical="center"/>
    </xf>
    <xf numFmtId="9" fontId="14" fillId="0" borderId="3" xfId="16" applyFont="1" applyFill="1" applyBorder="1" applyAlignment="1">
      <alignment horizontal="center"/>
    </xf>
    <xf numFmtId="10" fontId="14" fillId="0" borderId="21" xfId="1" applyNumberFormat="1" applyFont="1" applyBorder="1" applyAlignment="1">
      <alignment horizontal="center" vertical="center"/>
    </xf>
    <xf numFmtId="169" fontId="18" fillId="0" borderId="15" xfId="16" applyNumberFormat="1" applyFont="1" applyFill="1" applyBorder="1" applyAlignment="1">
      <alignment horizontal="center"/>
    </xf>
    <xf numFmtId="169" fontId="14" fillId="0" borderId="15" xfId="16" applyNumberFormat="1" applyFont="1" applyFill="1" applyBorder="1" applyAlignment="1">
      <alignment horizontal="center" vertical="center"/>
    </xf>
    <xf numFmtId="9" fontId="14" fillId="0" borderId="15" xfId="16" applyFont="1" applyFill="1" applyBorder="1" applyAlignment="1">
      <alignment horizontal="center"/>
    </xf>
    <xf numFmtId="9" fontId="14" fillId="0" borderId="44" xfId="16" applyFont="1" applyFill="1" applyBorder="1" applyAlignment="1">
      <alignment horizontal="center"/>
    </xf>
    <xf numFmtId="10" fontId="18" fillId="0" borderId="15" xfId="16" applyNumberFormat="1" applyFont="1" applyFill="1" applyBorder="1" applyAlignment="1">
      <alignment horizontal="center" wrapText="1"/>
    </xf>
    <xf numFmtId="1" fontId="27" fillId="0" borderId="3" xfId="10" applyNumberFormat="1" applyFont="1" applyBorder="1" applyAlignment="1">
      <alignment horizontal="center" vertical="center"/>
    </xf>
    <xf numFmtId="2" fontId="27" fillId="0" borderId="3" xfId="1" applyNumberFormat="1" applyFont="1" applyBorder="1" applyAlignment="1">
      <alignment horizontal="center" vertical="center"/>
    </xf>
    <xf numFmtId="2" fontId="18" fillId="0" borderId="3" xfId="0" applyNumberFormat="1" applyFont="1" applyBorder="1" applyAlignment="1">
      <alignment horizontal="center" vertical="center"/>
    </xf>
    <xf numFmtId="9" fontId="18" fillId="0" borderId="15" xfId="16" applyFont="1" applyFill="1" applyBorder="1" applyAlignment="1">
      <alignment horizontal="center"/>
    </xf>
    <xf numFmtId="168" fontId="14" fillId="0" borderId="19" xfId="0" applyNumberFormat="1" applyFont="1" applyBorder="1"/>
    <xf numFmtId="0" fontId="9" fillId="5" borderId="31" xfId="1" applyFont="1" applyFill="1" applyBorder="1" applyAlignment="1">
      <alignment horizontal="center" vertical="center" wrapText="1"/>
    </xf>
    <xf numFmtId="2" fontId="7" fillId="0" borderId="3" xfId="0" applyNumberFormat="1" applyFont="1" applyBorder="1" applyAlignment="1">
      <alignment horizontal="center"/>
    </xf>
    <xf numFmtId="2" fontId="7" fillId="0" borderId="0" xfId="0" applyNumberFormat="1" applyFont="1" applyAlignment="1">
      <alignment vertical="center"/>
    </xf>
    <xf numFmtId="167" fontId="7" fillId="0" borderId="0" xfId="0" applyNumberFormat="1" applyFont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/>
    </xf>
    <xf numFmtId="3" fontId="8" fillId="0" borderId="6" xfId="0" applyNumberFormat="1" applyFont="1" applyBorder="1" applyAlignment="1">
      <alignment horizontal="center" vertical="center"/>
    </xf>
    <xf numFmtId="3" fontId="7" fillId="2" borderId="22" xfId="0" applyNumberFormat="1" applyFont="1" applyFill="1" applyBorder="1" applyAlignment="1">
      <alignment horizontal="center" vertical="center"/>
    </xf>
    <xf numFmtId="3" fontId="7" fillId="2" borderId="18" xfId="0" applyNumberFormat="1" applyFont="1" applyFill="1" applyBorder="1" applyAlignment="1">
      <alignment horizontal="center" vertical="center"/>
    </xf>
    <xf numFmtId="3" fontId="7" fillId="2" borderId="17" xfId="0" applyNumberFormat="1" applyFont="1" applyFill="1" applyBorder="1" applyAlignment="1">
      <alignment horizontal="center" vertical="center"/>
    </xf>
    <xf numFmtId="0" fontId="13" fillId="0" borderId="13" xfId="1" applyFont="1" applyBorder="1" applyAlignment="1">
      <alignment horizontal="center" vertical="center" textRotation="90" wrapText="1"/>
    </xf>
    <xf numFmtId="0" fontId="25" fillId="5" borderId="25" xfId="1" applyFont="1" applyFill="1" applyBorder="1" applyAlignment="1">
      <alignment horizontal="center" vertical="center" wrapText="1"/>
    </xf>
    <xf numFmtId="0" fontId="25" fillId="5" borderId="25" xfId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15" fillId="5" borderId="25" xfId="1" applyFont="1" applyFill="1" applyBorder="1" applyAlignment="1">
      <alignment horizontal="center" vertical="center" wrapText="1"/>
    </xf>
    <xf numFmtId="0" fontId="15" fillId="5" borderId="31" xfId="1" applyFont="1" applyFill="1" applyBorder="1" applyAlignment="1">
      <alignment horizontal="center" vertical="center" wrapText="1"/>
    </xf>
    <xf numFmtId="0" fontId="15" fillId="5" borderId="25" xfId="1" applyFont="1" applyFill="1" applyBorder="1" applyAlignment="1">
      <alignment horizontal="center" vertical="center"/>
    </xf>
    <xf numFmtId="0" fontId="15" fillId="5" borderId="45" xfId="1" applyFont="1" applyFill="1" applyBorder="1" applyAlignment="1">
      <alignment horizontal="center" vertical="center" wrapText="1"/>
    </xf>
    <xf numFmtId="0" fontId="18" fillId="0" borderId="3" xfId="1" applyFont="1" applyBorder="1" applyAlignment="1">
      <alignment horizontal="center" vertical="center" wrapText="1"/>
    </xf>
    <xf numFmtId="168" fontId="7" fillId="0" borderId="3" xfId="0" applyNumberFormat="1" applyFont="1" applyBorder="1" applyAlignment="1">
      <alignment horizontal="center" vertical="center" wrapText="1"/>
    </xf>
    <xf numFmtId="0" fontId="15" fillId="5" borderId="23" xfId="1" applyFont="1" applyFill="1" applyBorder="1" applyAlignment="1">
      <alignment horizontal="center" vertical="center" wrapText="1"/>
    </xf>
    <xf numFmtId="0" fontId="18" fillId="0" borderId="0" xfId="1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9" fillId="5" borderId="23" xfId="3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textRotation="90"/>
    </xf>
    <xf numFmtId="0" fontId="7" fillId="0" borderId="13" xfId="0" applyFont="1" applyBorder="1" applyAlignment="1">
      <alignment horizontal="center" vertical="center" textRotation="90" wrapText="1"/>
    </xf>
    <xf numFmtId="0" fontId="7" fillId="0" borderId="10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textRotation="90" wrapText="1"/>
    </xf>
  </cellXfs>
  <cellStyles count="20">
    <cellStyle name="Normal 2" xfId="4" xr:uid="{AEB5ADE4-B5B1-4CF3-B0FA-21912A75CEF0}"/>
    <cellStyle name="Normal 3" xfId="14" xr:uid="{516BEDD0-486E-4F39-B0E9-D2ED7701BC08}"/>
    <cellStyle name="Normal 4" xfId="15" xr:uid="{71CCB609-B1ED-4705-8605-BA441FA6E700}"/>
    <cellStyle name="Обычный" xfId="0" builtinId="0"/>
    <cellStyle name="Обычный 2" xfId="3" xr:uid="{053CA489-4338-4381-B3AB-C3C0B1A6B945}"/>
    <cellStyle name="Обычный 2 2" xfId="10" xr:uid="{EEF90423-5181-4068-A4F6-055E75508D19}"/>
    <cellStyle name="Обычный 3" xfId="2" xr:uid="{BFD732DB-8C3D-4FEA-9E82-F4B10C7C5FBE}"/>
    <cellStyle name="Обычный 4" xfId="1" xr:uid="{5AD9134B-A016-4130-B6CE-593566CD234A}"/>
    <cellStyle name="Обычный 4 10 2" xfId="17" xr:uid="{5EDEC665-CF64-42BC-BEDA-F335AEDF1D72}"/>
    <cellStyle name="Обычный 4 2 2 2" xfId="6" xr:uid="{B1F8051A-70FF-4FAA-B0BB-1D536F47A911}"/>
    <cellStyle name="Обычный 4 3" xfId="12" xr:uid="{CC7F5980-3F7B-42D2-B56D-60E365CA5588}"/>
    <cellStyle name="Обычный 4 5" xfId="7" xr:uid="{5F4C0F95-16B9-4AF0-A444-CC8C8367E77C}"/>
    <cellStyle name="Обычный 4 6" xfId="8" xr:uid="{1D6BD4D5-91E5-4F90-B8DA-C9C2BEB299DE}"/>
    <cellStyle name="Обычный 4 8" xfId="9" xr:uid="{9473DD49-0CDE-41AE-9D90-52A53F425525}"/>
    <cellStyle name="Обычный 4 9" xfId="19" xr:uid="{A2094DE3-D889-4EE0-9A7B-775C76132564}"/>
    <cellStyle name="Обычный 5" xfId="13" xr:uid="{32156459-315F-4829-8B0D-CE5320234374}"/>
    <cellStyle name="Процентный" xfId="16" builtinId="5"/>
    <cellStyle name="Процентный 2" xfId="11" xr:uid="{570F9B34-B1E1-4812-9F12-C2515BF46F73}"/>
    <cellStyle name="Процентный 2 4" xfId="18" xr:uid="{A4B1AB95-67F6-4CAB-8F4A-03AA4A3A7255}"/>
    <cellStyle name="Финансовый 2 2" xfId="5" xr:uid="{EB6598F7-DBF6-46E0-BC40-35337EFC60E2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F1D3F"/>
      <color rgb="FFAEAAAA"/>
      <color rgb="FFDDEBF7"/>
      <color rgb="FFE2EFDA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30</xdr:row>
      <xdr:rowOff>0</xdr:rowOff>
    </xdr:from>
    <xdr:to>
      <xdr:col>8</xdr:col>
      <xdr:colOff>304800</xdr:colOff>
      <xdr:row>31</xdr:row>
      <xdr:rowOff>110546</xdr:rowOff>
    </xdr:to>
    <xdr:sp macro="" textlink="">
      <xdr:nvSpPr>
        <xdr:cNvPr id="10241" name="AutoShape 1">
          <a:extLst>
            <a:ext uri="{FF2B5EF4-FFF2-40B4-BE49-F238E27FC236}">
              <a16:creationId xmlns:a16="http://schemas.microsoft.com/office/drawing/2014/main" id="{6DF66661-4A3C-4111-8B43-19902C6D5448}"/>
            </a:ext>
          </a:extLst>
        </xdr:cNvPr>
        <xdr:cNvSpPr>
          <a:spLocks noChangeAspect="1" noChangeArrowheads="1"/>
        </xdr:cNvSpPr>
      </xdr:nvSpPr>
      <xdr:spPr bwMode="auto">
        <a:xfrm>
          <a:off x="72390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30</xdr:row>
      <xdr:rowOff>0</xdr:rowOff>
    </xdr:from>
    <xdr:to>
      <xdr:col>9</xdr:col>
      <xdr:colOff>304800</xdr:colOff>
      <xdr:row>31</xdr:row>
      <xdr:rowOff>110547</xdr:rowOff>
    </xdr:to>
    <xdr:sp macro="" textlink="">
      <xdr:nvSpPr>
        <xdr:cNvPr id="10242" name="AutoShape 2">
          <a:extLst>
            <a:ext uri="{FF2B5EF4-FFF2-40B4-BE49-F238E27FC236}">
              <a16:creationId xmlns:a16="http://schemas.microsoft.com/office/drawing/2014/main" id="{C58803FF-42F0-4AEB-BB0E-0DEA4BEBA990}"/>
            </a:ext>
          </a:extLst>
        </xdr:cNvPr>
        <xdr:cNvSpPr>
          <a:spLocks noChangeAspect="1" noChangeArrowheads="1"/>
        </xdr:cNvSpPr>
      </xdr:nvSpPr>
      <xdr:spPr bwMode="auto">
        <a:xfrm>
          <a:off x="7972425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18E0-2425-4BC5-BB7A-CD88D5F169B4}">
  <dimension ref="B2:N35"/>
  <sheetViews>
    <sheetView showGridLines="0" tabSelected="1" zoomScale="85" zoomScaleNormal="85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S5" sqref="S5"/>
    </sheetView>
  </sheetViews>
  <sheetFormatPr defaultColWidth="9.140625" defaultRowHeight="14.25" x14ac:dyDescent="0.25"/>
  <cols>
    <col min="1" max="1" width="5.42578125" style="1" customWidth="1"/>
    <col min="2" max="2" width="55.42578125" style="1" customWidth="1"/>
    <col min="3" max="3" width="13.7109375" style="1" customWidth="1"/>
    <col min="4" max="4" width="14.7109375" style="1" customWidth="1"/>
    <col min="5" max="13" width="13" style="1" customWidth="1"/>
    <col min="14" max="14" width="14.42578125" style="1" customWidth="1"/>
    <col min="15" max="15" width="12.140625" style="1" bestFit="1" customWidth="1"/>
    <col min="16" max="16384" width="9.140625" style="1"/>
  </cols>
  <sheetData>
    <row r="2" spans="2:14" x14ac:dyDescent="0.25">
      <c r="B2" s="2" t="s">
        <v>49</v>
      </c>
    </row>
    <row r="3" spans="2:14" s="3" customFormat="1" ht="42.75" customHeight="1" x14ac:dyDescent="0.25">
      <c r="B3" s="4" t="s">
        <v>45</v>
      </c>
      <c r="C3" s="5" t="s">
        <v>48</v>
      </c>
      <c r="D3" s="5" t="s">
        <v>54</v>
      </c>
      <c r="E3" s="4">
        <v>2022</v>
      </c>
      <c r="F3" s="4">
        <v>2023</v>
      </c>
      <c r="G3" s="4">
        <v>2024</v>
      </c>
      <c r="H3" s="4">
        <v>2025</v>
      </c>
      <c r="I3" s="4">
        <v>2026</v>
      </c>
      <c r="J3" s="4">
        <v>2027</v>
      </c>
      <c r="K3" s="4">
        <v>2028</v>
      </c>
      <c r="L3" s="4">
        <v>2029</v>
      </c>
      <c r="M3" s="4">
        <v>2030</v>
      </c>
      <c r="N3" s="5" t="s">
        <v>55</v>
      </c>
    </row>
    <row r="4" spans="2:14" s="6" customFormat="1" ht="16.5" customHeight="1" x14ac:dyDescent="0.25">
      <c r="B4" s="7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>
        <v>7</v>
      </c>
      <c r="I4" s="7">
        <v>8</v>
      </c>
      <c r="J4" s="7">
        <v>9</v>
      </c>
      <c r="K4" s="7">
        <v>10</v>
      </c>
      <c r="L4" s="7">
        <v>11</v>
      </c>
      <c r="M4" s="7">
        <v>12</v>
      </c>
      <c r="N4" s="7">
        <v>13</v>
      </c>
    </row>
    <row r="5" spans="2:14" ht="18" customHeight="1" x14ac:dyDescent="0.25">
      <c r="B5" s="351" t="s">
        <v>96</v>
      </c>
      <c r="C5" s="352" t="s">
        <v>46</v>
      </c>
      <c r="D5" s="414">
        <f>ROUND(SUMIF('Базовая линия'!$3:$3,"Выбросы, тСО2",'Базовая линия'!5:5),0)</f>
        <v>27083</v>
      </c>
      <c r="E5" s="414">
        <f>ROUND(SUMIF('Базовая линия'!$3:$3,"Выбросы, тСО2",'Базовая линия'!6:6),0)</f>
        <v>53824</v>
      </c>
      <c r="F5" s="414">
        <f>ROUND(SUMIF('Базовая линия'!$3:$3,"Выбросы, тСО2",'Базовая линия'!7:7),0)</f>
        <v>80133</v>
      </c>
      <c r="G5" s="414">
        <f>ROUND(SUMIF('Базовая линия'!$3:$3,"Выбросы, тСО2",'Базовая линия'!8:8),0)</f>
        <v>119106</v>
      </c>
      <c r="H5" s="414">
        <f>ROUND(SUMIF('Базовая линия'!$3:$3,"Выбросы, тСО2",'Базовая линия'!9:9),0)</f>
        <v>159296</v>
      </c>
      <c r="I5" s="414">
        <f>ROUND(SUMIF('Базовая линия'!$3:$3,"Выбросы, тСО2",'Базовая линия'!10:10),0)</f>
        <v>159296</v>
      </c>
      <c r="J5" s="414">
        <f>ROUND(SUMIF('Базовая линия'!$3:$3,"Выбросы, тСО2",'Базовая линия'!11:11),0)</f>
        <v>159296</v>
      </c>
      <c r="K5" s="414">
        <f>ROUND(SUMIF('Базовая линия'!$3:$3,"Выбросы, тСО2",'Базовая линия'!12:12),0)</f>
        <v>159296</v>
      </c>
      <c r="L5" s="414">
        <f>ROUND(SUMIF('Базовая линия'!$3:$3,"Выбросы, тСО2",'Базовая линия'!13:13),0)</f>
        <v>159296</v>
      </c>
      <c r="M5" s="414">
        <f>ROUND(SUMIF('Базовая линия'!$3:$3,"Выбросы, тСО2",'Базовая линия'!14:14),0)</f>
        <v>159296</v>
      </c>
      <c r="N5" s="414">
        <f>ROUND(SUMIF('Базовая линия'!$3:$3,"Выбросы, тСО2",'Базовая линия'!15:15),0)</f>
        <v>79430</v>
      </c>
    </row>
    <row r="6" spans="2:14" ht="18" customHeight="1" x14ac:dyDescent="0.2">
      <c r="B6" s="360" t="s">
        <v>105</v>
      </c>
      <c r="C6" s="361" t="s">
        <v>46</v>
      </c>
      <c r="D6" s="362">
        <f>'Базовая линия'!L5</f>
        <v>4409.8461580071007</v>
      </c>
      <c r="E6" s="362">
        <f>'Базовая линия'!L6</f>
        <v>10147.327340519701</v>
      </c>
      <c r="F6" s="362">
        <f>'Базовая линия'!L7</f>
        <v>9903.4200007539021</v>
      </c>
      <c r="G6" s="362">
        <f>'Базовая линия'!L8</f>
        <v>9576.0189289754999</v>
      </c>
      <c r="H6" s="362">
        <f>'Базовая линия'!L9</f>
        <v>11408.030807900001</v>
      </c>
      <c r="I6" s="362">
        <f>'Базовая линия'!L10</f>
        <v>11408.030807900001</v>
      </c>
      <c r="J6" s="362">
        <f>'Базовая линия'!L11</f>
        <v>11408.030807900001</v>
      </c>
      <c r="K6" s="362">
        <f>'Базовая линия'!L12</f>
        <v>11408.030807900001</v>
      </c>
      <c r="L6" s="362">
        <f>'Базовая линия'!L13</f>
        <v>11408.030807900001</v>
      </c>
      <c r="M6" s="362">
        <f>'Базовая линия'!L14</f>
        <v>11408.030807900001</v>
      </c>
      <c r="N6" s="362">
        <f>'Базовая линия'!L15</f>
        <v>5688.3879644871231</v>
      </c>
    </row>
    <row r="7" spans="2:14" ht="18" customHeight="1" x14ac:dyDescent="0.2">
      <c r="B7" s="360" t="s">
        <v>106</v>
      </c>
      <c r="C7" s="361" t="s">
        <v>46</v>
      </c>
      <c r="D7" s="362">
        <f>'Базовая линия'!G5</f>
        <v>7828.0664936650019</v>
      </c>
      <c r="E7" s="362">
        <f>'Базовая линия'!G6</f>
        <v>16196.547773318003</v>
      </c>
      <c r="F7" s="362">
        <f>'Базовая линия'!G7</f>
        <v>15596.656529476002</v>
      </c>
      <c r="G7" s="362">
        <f>'Базовая линия'!G8</f>
        <v>18786.916510043004</v>
      </c>
      <c r="H7" s="362">
        <f>'Базовая линия'!G9</f>
        <v>16976.805699333334</v>
      </c>
      <c r="I7" s="362">
        <f>'Базовая линия'!G10</f>
        <v>16976.805699333334</v>
      </c>
      <c r="J7" s="362">
        <f>'Базовая линия'!G11</f>
        <v>16976.805699333334</v>
      </c>
      <c r="K7" s="362">
        <f>'Базовая линия'!G12</f>
        <v>16976.805699333334</v>
      </c>
      <c r="L7" s="362">
        <f>'Базовая линия'!G13</f>
        <v>16976.805699333334</v>
      </c>
      <c r="M7" s="362">
        <f>'Базовая линия'!G14</f>
        <v>16976.805699333334</v>
      </c>
      <c r="N7" s="362">
        <f>'Базовая линия'!G15</f>
        <v>8465.1469514484033</v>
      </c>
    </row>
    <row r="8" spans="2:14" ht="18" customHeight="1" x14ac:dyDescent="0.2">
      <c r="B8" s="350" t="s">
        <v>107</v>
      </c>
      <c r="C8" s="8" t="s">
        <v>46</v>
      </c>
      <c r="D8" s="9">
        <f>'Базовая линия'!Q5</f>
        <v>7585.9184450999992</v>
      </c>
      <c r="E8" s="9">
        <f>'Базовая линия'!Q6</f>
        <v>15360.736045199998</v>
      </c>
      <c r="F8" s="9">
        <f>'Базовая линия'!Q7</f>
        <v>21710.068766999997</v>
      </c>
      <c r="G8" s="9">
        <f>'Базовая линия'!Q8</f>
        <v>14751.3942873</v>
      </c>
      <c r="H8" s="9">
        <f>'Базовая линия'!Q9</f>
        <v>18673.646791701995</v>
      </c>
      <c r="I8" s="9">
        <f>'Базовая линия'!Q11</f>
        <v>18673.646791701995</v>
      </c>
      <c r="J8" s="9">
        <f>'Базовая линия'!Q11</f>
        <v>18673.646791701995</v>
      </c>
      <c r="K8" s="9">
        <f>'Базовая линия'!Q12</f>
        <v>18673.646791701995</v>
      </c>
      <c r="L8" s="9">
        <f>'Базовая линия'!Q13</f>
        <v>18673.646791701995</v>
      </c>
      <c r="M8" s="9">
        <f>'Базовая линия'!Q14</f>
        <v>18673.646791701995</v>
      </c>
      <c r="N8" s="9">
        <f>'Базовая линия'!Q15</f>
        <v>9311.2430577801733</v>
      </c>
    </row>
    <row r="9" spans="2:14" ht="18" customHeight="1" x14ac:dyDescent="0.2">
      <c r="B9" s="350" t="s">
        <v>108</v>
      </c>
      <c r="C9" s="8" t="s">
        <v>46</v>
      </c>
      <c r="D9" s="9">
        <f>'Базовая линия'!V5</f>
        <v>0</v>
      </c>
      <c r="E9" s="9">
        <f>'Базовая линия'!V6</f>
        <v>392.90418481800003</v>
      </c>
      <c r="F9" s="9">
        <f>'Базовая линия'!V7</f>
        <v>1236.8023725659998</v>
      </c>
      <c r="G9" s="9">
        <f>'Базовая линия'!V8</f>
        <v>1138.5161918460001</v>
      </c>
      <c r="H9" s="9">
        <f>'Базовая линия'!V9</f>
        <v>539.97624077399996</v>
      </c>
      <c r="I9" s="9">
        <f>'Базовая линия'!V10</f>
        <v>539.97624077399996</v>
      </c>
      <c r="J9" s="9">
        <f>'Базовая линия'!V11</f>
        <v>539.97624077399996</v>
      </c>
      <c r="K9" s="9">
        <f>'Базовая линия'!V12</f>
        <v>539.97624077399996</v>
      </c>
      <c r="L9" s="9">
        <f>'Базовая линия'!V13</f>
        <v>539.97624077399996</v>
      </c>
      <c r="M9" s="9">
        <f>'Базовая линия'!V14</f>
        <v>539.97624077399996</v>
      </c>
      <c r="N9" s="9">
        <f>'Базовая линия'!V15</f>
        <v>269.24842690648768</v>
      </c>
    </row>
    <row r="10" spans="2:14" ht="18" customHeight="1" x14ac:dyDescent="0.2">
      <c r="B10" s="350" t="s">
        <v>109</v>
      </c>
      <c r="C10" s="8" t="s">
        <v>46</v>
      </c>
      <c r="D10" s="9">
        <f>'Базовая линия'!AA5</f>
        <v>7259.6279304880009</v>
      </c>
      <c r="E10" s="9">
        <f>'Базовая линия'!AA6</f>
        <v>11726.722633224002</v>
      </c>
      <c r="F10" s="9">
        <f>'Базовая линия'!AA7</f>
        <v>16253.854058192001</v>
      </c>
      <c r="G10" s="9">
        <f>'Базовая линия'!AA8</f>
        <v>21178.605147832004</v>
      </c>
      <c r="H10" s="9">
        <f>'Базовая линия'!AA9</f>
        <v>5728.7814343613345</v>
      </c>
      <c r="I10" s="9">
        <f>'Базовая линия'!AA10</f>
        <v>5728.7814343613345</v>
      </c>
      <c r="J10" s="9">
        <f>'Базовая линия'!AA11</f>
        <v>5728.7814343613345</v>
      </c>
      <c r="K10" s="9">
        <f>'Базовая линия'!AA12</f>
        <v>5728.7814343613345</v>
      </c>
      <c r="L10" s="9">
        <f>'Базовая линия'!AA13</f>
        <v>5728.7814343613345</v>
      </c>
      <c r="M10" s="9">
        <f>'Базовая линия'!AA14</f>
        <v>5728.7814343613345</v>
      </c>
      <c r="N10" s="9">
        <f>'Базовая линия'!AA15</f>
        <v>2856.543071380172</v>
      </c>
    </row>
    <row r="11" spans="2:14" ht="18" customHeight="1" x14ac:dyDescent="0.2">
      <c r="B11" s="350" t="s">
        <v>110</v>
      </c>
      <c r="C11" s="8" t="s">
        <v>46</v>
      </c>
      <c r="D11" s="9">
        <f>'Базовая линия'!AF5</f>
        <v>0</v>
      </c>
      <c r="E11" s="9">
        <f>'Базовая линия'!AF6</f>
        <v>0</v>
      </c>
      <c r="F11" s="9">
        <f>'Базовая линия'!AF7</f>
        <v>0</v>
      </c>
      <c r="G11" s="9">
        <f>'Базовая линия'!AF8</f>
        <v>18409.075782500004</v>
      </c>
      <c r="H11" s="9">
        <f>'Базовая линия'!AF9</f>
        <v>63084.37813344333</v>
      </c>
      <c r="I11" s="9">
        <f>'Базовая линия'!AF10</f>
        <v>63084.37813344333</v>
      </c>
      <c r="J11" s="9">
        <f>'Базовая линия'!AF11</f>
        <v>63084.37813344333</v>
      </c>
      <c r="K11" s="9">
        <f>'Базовая линия'!AF12</f>
        <v>63084.37813344333</v>
      </c>
      <c r="L11" s="9">
        <f>'Базовая линия'!AF13</f>
        <v>63084.37813344333</v>
      </c>
      <c r="M11" s="9">
        <f>'Базовая линия'!AF14</f>
        <v>63084.37813344333</v>
      </c>
      <c r="N11" s="9">
        <f>'Базовая линия'!AF15</f>
        <v>31455.772110374484</v>
      </c>
    </row>
    <row r="12" spans="2:14" ht="18" customHeight="1" x14ac:dyDescent="0.2">
      <c r="B12" s="350" t="s">
        <v>111</v>
      </c>
      <c r="C12" s="8" t="s">
        <v>46</v>
      </c>
      <c r="D12" s="9">
        <f>'Базовая линия'!AK5</f>
        <v>0</v>
      </c>
      <c r="E12" s="9">
        <f>'Базовая линия'!AK6</f>
        <v>0</v>
      </c>
      <c r="F12" s="9">
        <f>'Базовая линия'!AK7</f>
        <v>15431.865900420002</v>
      </c>
      <c r="G12" s="9">
        <f>'Базовая линия'!AK8</f>
        <v>35265.389163600012</v>
      </c>
      <c r="H12" s="9">
        <f>'Базовая линия'!AK9</f>
        <v>42884.850424087599</v>
      </c>
      <c r="I12" s="9">
        <f>'Базовая линия'!AK10</f>
        <v>42884.850424087599</v>
      </c>
      <c r="J12" s="9">
        <f>'Базовая линия'!AK11</f>
        <v>42884.850424087599</v>
      </c>
      <c r="K12" s="9">
        <f>'Базовая линия'!AK12</f>
        <v>42884.850424087599</v>
      </c>
      <c r="L12" s="9">
        <f>'Базовая линия'!AK13</f>
        <v>42884.850424087599</v>
      </c>
      <c r="M12" s="9">
        <f>'Базовая линия'!AK14</f>
        <v>42884.850424087599</v>
      </c>
      <c r="N12" s="9">
        <f>'Базовая линия'!AK15</f>
        <v>21383.678841599842</v>
      </c>
    </row>
    <row r="13" spans="2:14" ht="18" customHeight="1" x14ac:dyDescent="0.25">
      <c r="B13" s="351" t="s">
        <v>97</v>
      </c>
      <c r="C13" s="352" t="s">
        <v>46</v>
      </c>
      <c r="D13" s="414">
        <f>ROUND(SUMIF('Проектный сценарий'!$4:$4,"Выбросы, тСО2",'Проектный сценарий'!6:6),0)</f>
        <v>6488</v>
      </c>
      <c r="E13" s="414">
        <f>ROUND(SUMIF('Проектный сценарий'!$4:$4,"Выбросы, тСО2",'Проектный сценарий'!7:7),0)</f>
        <v>11823</v>
      </c>
      <c r="F13" s="414">
        <f>ROUND(SUMIF('Проектный сценарий'!$4:$4,"Выбросы, тСО2",'Проектный сценарий'!8:8),0)</f>
        <v>16897</v>
      </c>
      <c r="G13" s="414">
        <f>ROUND(SUMIF('Проектный сценарий'!$4:$4,"Выбросы, тСО2",'Проектный сценарий'!9:9),0)</f>
        <v>24107</v>
      </c>
      <c r="H13" s="414">
        <f>ROUND(SUMIF('Проектный сценарий'!$4:$4,"Выбросы, тСО2",'Проектный сценарий'!10:10),0)</f>
        <v>39225</v>
      </c>
      <c r="I13" s="414">
        <f>ROUND(SUMIF('Проектный сценарий'!$4:$4,"Выбросы, тСО2",'Проектный сценарий'!11:11),0)</f>
        <v>39225</v>
      </c>
      <c r="J13" s="414">
        <f>ROUND(SUMIF('Проектный сценарий'!$4:$4,"Выбросы, тСО2",'Проектный сценарий'!12:12),0)</f>
        <v>39225</v>
      </c>
      <c r="K13" s="414">
        <f>ROUND(SUMIF('Проектный сценарий'!$4:$4,"Выбросы, тСО2",'Проектный сценарий'!13:13),0)</f>
        <v>39225</v>
      </c>
      <c r="L13" s="414">
        <f>ROUND(SUMIF('Проектный сценарий'!$4:$4,"Выбросы, тСО2",'Проектный сценарий'!14:14),0)</f>
        <v>39225</v>
      </c>
      <c r="M13" s="414">
        <f>ROUND(SUMIF('Проектный сценарий'!$4:$4,"Выбросы, тСО2",'Проектный сценарий'!15:15),0)</f>
        <v>39225</v>
      </c>
      <c r="N13" s="414">
        <f>ROUND(SUMIF('Проектный сценарий'!$4:$4,"Выбросы, тСО2",'Проектный сценарий'!16:16),0)</f>
        <v>19559</v>
      </c>
    </row>
    <row r="14" spans="2:14" ht="18" customHeight="1" x14ac:dyDescent="0.2">
      <c r="B14" s="360" t="s">
        <v>98</v>
      </c>
      <c r="C14" s="361" t="s">
        <v>46</v>
      </c>
      <c r="D14" s="362">
        <f>'Проектный сценарий'!J6</f>
        <v>1110.8485645841665</v>
      </c>
      <c r="E14" s="362">
        <f>'Проектный сценарий'!J7</f>
        <v>1818.5211432990629</v>
      </c>
      <c r="F14" s="362">
        <f>'Проектный сценарий'!J8</f>
        <v>1226.1237245828081</v>
      </c>
      <c r="G14" s="362">
        <f>'Проектный сценарий'!J9</f>
        <v>641.11779602201307</v>
      </c>
      <c r="H14" s="362">
        <f>'Проектный сценарий'!J10</f>
        <v>1419.2333255974193</v>
      </c>
      <c r="I14" s="362">
        <f>'Проектный сценарий'!J11</f>
        <v>1419.2333255974193</v>
      </c>
      <c r="J14" s="362">
        <f>'Проектный сценарий'!J12</f>
        <v>1419.2333255974193</v>
      </c>
      <c r="K14" s="362">
        <f>'Проектный сценарий'!J13</f>
        <v>1419.2333255974193</v>
      </c>
      <c r="L14" s="362">
        <f>'Проектный сценарий'!J14</f>
        <v>1419.2333255974193</v>
      </c>
      <c r="M14" s="362">
        <f>'Проектный сценарий'!J15</f>
        <v>1419.2333255974193</v>
      </c>
      <c r="N14" s="362">
        <f>'Проектный сценарий'!J16</f>
        <v>707.67250755816519</v>
      </c>
    </row>
    <row r="15" spans="2:14" ht="18" customHeight="1" x14ac:dyDescent="0.2">
      <c r="B15" s="360" t="s">
        <v>99</v>
      </c>
      <c r="C15" s="361" t="s">
        <v>46</v>
      </c>
      <c r="D15" s="362">
        <f>'Проектный сценарий'!$F$6</f>
        <v>3169.3772949229924</v>
      </c>
      <c r="E15" s="362">
        <f>'Проектный сценарий'!$F$7</f>
        <v>5130.5745296448595</v>
      </c>
      <c r="F15" s="362">
        <f>'Проектный сценарий'!$F$8</f>
        <v>5080.2541074461124</v>
      </c>
      <c r="G15" s="362">
        <f>'Проектный сценарий'!$F$9</f>
        <v>4424.5027968389841</v>
      </c>
      <c r="H15" s="362">
        <f>'Проектный сценарий'!$F$10</f>
        <v>4912.2298267843607</v>
      </c>
      <c r="I15" s="362">
        <f>'Проектный сценарий'!$F$11</f>
        <v>4912.2298267843607</v>
      </c>
      <c r="J15" s="362">
        <f>'Проектный сценарий'!$F$12</f>
        <v>4912.2298267843607</v>
      </c>
      <c r="K15" s="362">
        <f>'Проектный сценарий'!$F$13</f>
        <v>4912.2298267843607</v>
      </c>
      <c r="L15" s="362">
        <f>'Проектный сценарий'!$F$14</f>
        <v>4912.2298267843607</v>
      </c>
      <c r="M15" s="362">
        <f>'Проектный сценарий'!$F$15</f>
        <v>4912.2298267843607</v>
      </c>
      <c r="N15" s="362">
        <f>'Проектный сценарий'!$F$16</f>
        <v>2449.3858314376812</v>
      </c>
    </row>
    <row r="16" spans="2:14" ht="18" customHeight="1" x14ac:dyDescent="0.2">
      <c r="B16" s="350" t="s">
        <v>100</v>
      </c>
      <c r="C16" s="8" t="s">
        <v>46</v>
      </c>
      <c r="D16" s="9">
        <f>'Проектный сценарий'!R6</f>
        <v>1285.5454877708235</v>
      </c>
      <c r="E16" s="9">
        <f>'Проектный сценарий'!R7</f>
        <v>2593.4371721766411</v>
      </c>
      <c r="F16" s="9">
        <f>'Проектный сценарий'!R8</f>
        <v>3294.356627197044</v>
      </c>
      <c r="G16" s="9">
        <f>'Проектный сценарий'!R9</f>
        <v>3318.0396714607787</v>
      </c>
      <c r="H16" s="9">
        <f>'Проектный сценарий'!R10</f>
        <v>3317.2363513081687</v>
      </c>
      <c r="I16" s="9">
        <f>'Проектный сценарий'!R11</f>
        <v>3317.2363513081687</v>
      </c>
      <c r="J16" s="9">
        <f>'Проектный сценарий'!R12</f>
        <v>3317.2363513081687</v>
      </c>
      <c r="K16" s="9">
        <f>'Проектный сценарий'!R13</f>
        <v>3317.2363513081687</v>
      </c>
      <c r="L16" s="9">
        <f>'Проектный сценарий'!R14</f>
        <v>3317.2363513081687</v>
      </c>
      <c r="M16" s="9">
        <f>'Проектный сценарий'!R15</f>
        <v>3317.2363513081687</v>
      </c>
      <c r="N16" s="9">
        <f>'Проектный сценарий'!R16</f>
        <v>1654.0740162687305</v>
      </c>
    </row>
    <row r="17" spans="2:14" ht="18" customHeight="1" x14ac:dyDescent="0.2">
      <c r="B17" s="350" t="s">
        <v>101</v>
      </c>
      <c r="C17" s="8" t="s">
        <v>46</v>
      </c>
      <c r="D17" s="9">
        <f>'Проектный сценарий'!V6</f>
        <v>0</v>
      </c>
      <c r="E17" s="9">
        <f>'Проектный сценарий'!V7</f>
        <v>94.537125089705114</v>
      </c>
      <c r="F17" s="9">
        <f>'Проектный сценарий'!V8</f>
        <v>406.16473482637048</v>
      </c>
      <c r="G17" s="9">
        <f>'Проектный сценарий'!V9</f>
        <v>305.12462156780202</v>
      </c>
      <c r="H17" s="9">
        <f>'Проектный сценарий'!V10</f>
        <v>157.1864671326891</v>
      </c>
      <c r="I17" s="9">
        <f>'Проектный сценарий'!V11</f>
        <v>157.1864671326891</v>
      </c>
      <c r="J17" s="9">
        <f>'Проектный сценарий'!V12</f>
        <v>157.1864671326891</v>
      </c>
      <c r="K17" s="9">
        <f>'Проектный сценарий'!V13</f>
        <v>157.1864671326891</v>
      </c>
      <c r="L17" s="9">
        <f>'Проектный сценарий'!V14</f>
        <v>157.1864671326891</v>
      </c>
      <c r="M17" s="9">
        <f>'Проектный сценарий'!V15</f>
        <v>157.1864671326891</v>
      </c>
      <c r="N17" s="9">
        <f>'Проектный сценарий'!V16</f>
        <v>78.377909638765516</v>
      </c>
    </row>
    <row r="18" spans="2:14" ht="18" customHeight="1" x14ac:dyDescent="0.2">
      <c r="B18" s="350" t="s">
        <v>102</v>
      </c>
      <c r="C18" s="8" t="s">
        <v>46</v>
      </c>
      <c r="D18" s="9">
        <f>'Проектный сценарий'!N6</f>
        <v>921.96294041787951</v>
      </c>
      <c r="E18" s="9">
        <f>'Проектный сценарий'!N7</f>
        <v>2185.5327924361472</v>
      </c>
      <c r="F18" s="9">
        <f>'Проектный сценарий'!N8</f>
        <v>2092.7600860141638</v>
      </c>
      <c r="G18" s="9">
        <f>'Проектный сценарий'!N9</f>
        <v>1474.5658761050074</v>
      </c>
      <c r="H18" s="9">
        <f>'Проектный сценарий'!N10</f>
        <v>670.41128827915668</v>
      </c>
      <c r="I18" s="9">
        <f>'Проектный сценарий'!N11</f>
        <v>670.41128827915668</v>
      </c>
      <c r="J18" s="9">
        <f>'Проектный сценарий'!N12</f>
        <v>670.41128827915668</v>
      </c>
      <c r="K18" s="9">
        <f>'Проектный сценарий'!N13</f>
        <v>670.41128827915668</v>
      </c>
      <c r="L18" s="9">
        <f>'Проектный сценарий'!N14</f>
        <v>670.41128827915668</v>
      </c>
      <c r="M18" s="9">
        <f>'Проектный сценарий'!N15</f>
        <v>670.41128827915668</v>
      </c>
      <c r="N18" s="9">
        <f>'Проектный сценарий'!N16</f>
        <v>334.28727251179862</v>
      </c>
    </row>
    <row r="19" spans="2:14" ht="18" customHeight="1" x14ac:dyDescent="0.2">
      <c r="B19" s="350" t="s">
        <v>103</v>
      </c>
      <c r="C19" s="8" t="s">
        <v>46</v>
      </c>
      <c r="D19" s="9">
        <f>'Проектный сценарий'!Z6</f>
        <v>0</v>
      </c>
      <c r="E19" s="9">
        <f>'Проектный сценарий'!Z7</f>
        <v>0</v>
      </c>
      <c r="F19" s="9">
        <f>'Проектный сценарий'!Z8</f>
        <v>0</v>
      </c>
      <c r="G19" s="9">
        <f>'Проектный сценарий'!Z9</f>
        <v>4996.7432049038143</v>
      </c>
      <c r="H19" s="9">
        <f>'Проектный сценарий'!Z10</f>
        <v>17122.8822944776</v>
      </c>
      <c r="I19" s="9">
        <f>'Проектный сценарий'!Z11</f>
        <v>17122.8822944776</v>
      </c>
      <c r="J19" s="9">
        <f>'Проектный сценарий'!Z12</f>
        <v>17122.8822944776</v>
      </c>
      <c r="K19" s="9">
        <f>'Проектный сценарий'!Z13</f>
        <v>17122.8822944776</v>
      </c>
      <c r="L19" s="9">
        <f>'Проектный сценарий'!Z14</f>
        <v>17122.8822944776</v>
      </c>
      <c r="M19" s="9">
        <f>'Проектный сценарий'!Z15</f>
        <v>17122.8822944776</v>
      </c>
      <c r="N19" s="9">
        <f>'Проектный сценарий'!Z16</f>
        <v>8537.9851440956827</v>
      </c>
    </row>
    <row r="20" spans="2:14" ht="18" customHeight="1" x14ac:dyDescent="0.2">
      <c r="B20" s="350" t="s">
        <v>104</v>
      </c>
      <c r="C20" s="8" t="s">
        <v>46</v>
      </c>
      <c r="D20" s="9">
        <f>'Проектный сценарий'!AD6</f>
        <v>0</v>
      </c>
      <c r="E20" s="9">
        <f>'Проектный сценарий'!AD7</f>
        <v>0</v>
      </c>
      <c r="F20" s="9">
        <f>'Проектный сценарий'!AD8</f>
        <v>4797.1616409388489</v>
      </c>
      <c r="G20" s="9">
        <f>'Проектный сценарий'!AD9</f>
        <v>8946.4498371731734</v>
      </c>
      <c r="H20" s="9">
        <f>'Проектный сценарий'!AD10</f>
        <v>11625.732434257592</v>
      </c>
      <c r="I20" s="9">
        <f>'Проектный сценарий'!AD11</f>
        <v>11625.732434257592</v>
      </c>
      <c r="J20" s="9">
        <f>'Проектный сценарий'!AD12</f>
        <v>11625.732434257592</v>
      </c>
      <c r="K20" s="9">
        <f>'Проектный сценарий'!AD13</f>
        <v>11625.732434257592</v>
      </c>
      <c r="L20" s="9">
        <f>'Проектный сценарий'!AD14</f>
        <v>11625.732434257592</v>
      </c>
      <c r="M20" s="9">
        <f>'Проектный сценарий'!AD15</f>
        <v>11625.732434257592</v>
      </c>
      <c r="N20" s="9">
        <f>'Проектный сценарий'!AD16</f>
        <v>5796.9405562599513</v>
      </c>
    </row>
    <row r="21" spans="2:14" ht="18" customHeight="1" x14ac:dyDescent="0.25">
      <c r="B21" s="351" t="s">
        <v>47</v>
      </c>
      <c r="C21" s="352" t="s">
        <v>46</v>
      </c>
      <c r="D21" s="353">
        <v>0</v>
      </c>
      <c r="E21" s="353">
        <v>0</v>
      </c>
      <c r="F21" s="353">
        <v>0</v>
      </c>
      <c r="G21" s="353">
        <v>0</v>
      </c>
      <c r="H21" s="353">
        <v>0</v>
      </c>
      <c r="I21" s="353">
        <v>0</v>
      </c>
      <c r="J21" s="353">
        <v>0</v>
      </c>
      <c r="K21" s="353">
        <v>0</v>
      </c>
      <c r="L21" s="353">
        <v>0</v>
      </c>
      <c r="M21" s="353">
        <v>0</v>
      </c>
      <c r="N21" s="353">
        <v>0</v>
      </c>
    </row>
    <row r="22" spans="2:14" ht="18" customHeight="1" x14ac:dyDescent="0.25">
      <c r="B22" s="351" t="s">
        <v>123</v>
      </c>
      <c r="C22" s="352" t="s">
        <v>46</v>
      </c>
      <c r="D22" s="415">
        <f>D5-D13</f>
        <v>20595</v>
      </c>
      <c r="E22" s="415">
        <f t="shared" ref="E22:N22" si="0">E5-E13</f>
        <v>42001</v>
      </c>
      <c r="F22" s="415">
        <f t="shared" si="0"/>
        <v>63236</v>
      </c>
      <c r="G22" s="415">
        <f t="shared" si="0"/>
        <v>94999</v>
      </c>
      <c r="H22" s="415">
        <f t="shared" si="0"/>
        <v>120071</v>
      </c>
      <c r="I22" s="415">
        <f t="shared" si="0"/>
        <v>120071</v>
      </c>
      <c r="J22" s="415">
        <f t="shared" si="0"/>
        <v>120071</v>
      </c>
      <c r="K22" s="415">
        <f t="shared" si="0"/>
        <v>120071</v>
      </c>
      <c r="L22" s="415">
        <f t="shared" si="0"/>
        <v>120071</v>
      </c>
      <c r="M22" s="415">
        <f t="shared" si="0"/>
        <v>120071</v>
      </c>
      <c r="N22" s="415">
        <f t="shared" si="0"/>
        <v>59871</v>
      </c>
    </row>
    <row r="23" spans="2:14" ht="18" customHeight="1" x14ac:dyDescent="0.2">
      <c r="B23" s="360" t="s">
        <v>98</v>
      </c>
      <c r="C23" s="361" t="s">
        <v>46</v>
      </c>
      <c r="D23" s="362">
        <f>D6-D14</f>
        <v>3298.9975934229342</v>
      </c>
      <c r="E23" s="362">
        <f t="shared" ref="E23:N23" si="1">E6-E14</f>
        <v>8328.8061972206378</v>
      </c>
      <c r="F23" s="362">
        <f t="shared" si="1"/>
        <v>8677.2962761710933</v>
      </c>
      <c r="G23" s="362">
        <f t="shared" si="1"/>
        <v>8934.901132953486</v>
      </c>
      <c r="H23" s="362">
        <f t="shared" si="1"/>
        <v>9988.7974823025816</v>
      </c>
      <c r="I23" s="362">
        <f t="shared" si="1"/>
        <v>9988.7974823025816</v>
      </c>
      <c r="J23" s="362">
        <f t="shared" si="1"/>
        <v>9988.7974823025816</v>
      </c>
      <c r="K23" s="362">
        <f t="shared" si="1"/>
        <v>9988.7974823025816</v>
      </c>
      <c r="L23" s="362">
        <f t="shared" si="1"/>
        <v>9988.7974823025816</v>
      </c>
      <c r="M23" s="362">
        <f t="shared" si="1"/>
        <v>9988.7974823025816</v>
      </c>
      <c r="N23" s="362">
        <f t="shared" si="1"/>
        <v>4980.7154569289578</v>
      </c>
    </row>
    <row r="24" spans="2:14" ht="18" customHeight="1" x14ac:dyDescent="0.2">
      <c r="B24" s="360" t="s">
        <v>99</v>
      </c>
      <c r="C24" s="361" t="s">
        <v>46</v>
      </c>
      <c r="D24" s="362">
        <f>D7-D15</f>
        <v>4658.6891987420095</v>
      </c>
      <c r="E24" s="362">
        <f t="shared" ref="E24:N24" si="2">E7-E15</f>
        <v>11065.973243673143</v>
      </c>
      <c r="F24" s="362">
        <f t="shared" si="2"/>
        <v>10516.402422029889</v>
      </c>
      <c r="G24" s="362">
        <f t="shared" si="2"/>
        <v>14362.41371320402</v>
      </c>
      <c r="H24" s="362">
        <f t="shared" si="2"/>
        <v>12064.575872548972</v>
      </c>
      <c r="I24" s="362">
        <f t="shared" si="2"/>
        <v>12064.575872548972</v>
      </c>
      <c r="J24" s="362">
        <f t="shared" si="2"/>
        <v>12064.575872548972</v>
      </c>
      <c r="K24" s="362">
        <f t="shared" si="2"/>
        <v>12064.575872548972</v>
      </c>
      <c r="L24" s="362">
        <f t="shared" si="2"/>
        <v>12064.575872548972</v>
      </c>
      <c r="M24" s="362">
        <f t="shared" si="2"/>
        <v>12064.575872548972</v>
      </c>
      <c r="N24" s="362">
        <f t="shared" si="2"/>
        <v>6015.7611200107222</v>
      </c>
    </row>
    <row r="25" spans="2:14" ht="18" customHeight="1" x14ac:dyDescent="0.2">
      <c r="B25" s="350" t="s">
        <v>100</v>
      </c>
      <c r="C25" s="8" t="s">
        <v>46</v>
      </c>
      <c r="D25" s="9">
        <f t="shared" ref="D25:N25" si="3">D8-D16</f>
        <v>6300.3729573291757</v>
      </c>
      <c r="E25" s="9">
        <f t="shared" si="3"/>
        <v>12767.298873023356</v>
      </c>
      <c r="F25" s="9">
        <f t="shared" si="3"/>
        <v>18415.712139802952</v>
      </c>
      <c r="G25" s="9">
        <f t="shared" si="3"/>
        <v>11433.35461583922</v>
      </c>
      <c r="H25" s="9">
        <f t="shared" si="3"/>
        <v>15356.410440393825</v>
      </c>
      <c r="I25" s="9">
        <f t="shared" si="3"/>
        <v>15356.410440393825</v>
      </c>
      <c r="J25" s="9">
        <f t="shared" si="3"/>
        <v>15356.410440393825</v>
      </c>
      <c r="K25" s="9">
        <f t="shared" si="3"/>
        <v>15356.410440393825</v>
      </c>
      <c r="L25" s="9">
        <f t="shared" si="3"/>
        <v>15356.410440393825</v>
      </c>
      <c r="M25" s="9">
        <f t="shared" si="3"/>
        <v>15356.410440393825</v>
      </c>
      <c r="N25" s="9">
        <f t="shared" si="3"/>
        <v>7657.1690415114426</v>
      </c>
    </row>
    <row r="26" spans="2:14" ht="18" customHeight="1" x14ac:dyDescent="0.2">
      <c r="B26" s="350" t="s">
        <v>101</v>
      </c>
      <c r="C26" s="8" t="s">
        <v>46</v>
      </c>
      <c r="D26" s="9">
        <f t="shared" ref="D26:N26" si="4">D9-D17</f>
        <v>0</v>
      </c>
      <c r="E26" s="9">
        <f t="shared" si="4"/>
        <v>298.36705972829492</v>
      </c>
      <c r="F26" s="9">
        <f t="shared" si="4"/>
        <v>830.63763773962933</v>
      </c>
      <c r="G26" s="9">
        <f t="shared" si="4"/>
        <v>833.39157027819806</v>
      </c>
      <c r="H26" s="9">
        <f t="shared" si="4"/>
        <v>382.78977364131083</v>
      </c>
      <c r="I26" s="9">
        <f t="shared" si="4"/>
        <v>382.78977364131083</v>
      </c>
      <c r="J26" s="9">
        <f t="shared" si="4"/>
        <v>382.78977364131083</v>
      </c>
      <c r="K26" s="9">
        <f t="shared" si="4"/>
        <v>382.78977364131083</v>
      </c>
      <c r="L26" s="9">
        <f t="shared" si="4"/>
        <v>382.78977364131083</v>
      </c>
      <c r="M26" s="9">
        <f t="shared" si="4"/>
        <v>382.78977364131083</v>
      </c>
      <c r="N26" s="9">
        <f t="shared" si="4"/>
        <v>190.87051726772216</v>
      </c>
    </row>
    <row r="27" spans="2:14" ht="18" customHeight="1" x14ac:dyDescent="0.2">
      <c r="B27" s="350" t="s">
        <v>102</v>
      </c>
      <c r="C27" s="8" t="s">
        <v>46</v>
      </c>
      <c r="D27" s="9">
        <f t="shared" ref="D27:N27" si="5">D10-D18</f>
        <v>6337.6649900701213</v>
      </c>
      <c r="E27" s="9">
        <f t="shared" si="5"/>
        <v>9541.1898407878543</v>
      </c>
      <c r="F27" s="9">
        <f t="shared" si="5"/>
        <v>14161.093972177838</v>
      </c>
      <c r="G27" s="9">
        <f t="shared" si="5"/>
        <v>19704.039271726997</v>
      </c>
      <c r="H27" s="9">
        <f t="shared" si="5"/>
        <v>5058.3701460821776</v>
      </c>
      <c r="I27" s="9">
        <f t="shared" si="5"/>
        <v>5058.3701460821776</v>
      </c>
      <c r="J27" s="9">
        <f t="shared" si="5"/>
        <v>5058.3701460821776</v>
      </c>
      <c r="K27" s="9">
        <f t="shared" si="5"/>
        <v>5058.3701460821776</v>
      </c>
      <c r="L27" s="9">
        <f t="shared" si="5"/>
        <v>5058.3701460821776</v>
      </c>
      <c r="M27" s="9">
        <f t="shared" si="5"/>
        <v>5058.3701460821776</v>
      </c>
      <c r="N27" s="9">
        <f t="shared" si="5"/>
        <v>2522.2557988683734</v>
      </c>
    </row>
    <row r="28" spans="2:14" ht="18" customHeight="1" x14ac:dyDescent="0.2">
      <c r="B28" s="350" t="s">
        <v>103</v>
      </c>
      <c r="C28" s="8" t="s">
        <v>46</v>
      </c>
      <c r="D28" s="9">
        <f t="shared" ref="D28:N28" si="6">D11-D19</f>
        <v>0</v>
      </c>
      <c r="E28" s="9">
        <f t="shared" si="6"/>
        <v>0</v>
      </c>
      <c r="F28" s="9">
        <f t="shared" si="6"/>
        <v>0</v>
      </c>
      <c r="G28" s="9">
        <f t="shared" si="6"/>
        <v>13412.332577596189</v>
      </c>
      <c r="H28" s="9">
        <f t="shared" si="6"/>
        <v>45961.495838965726</v>
      </c>
      <c r="I28" s="9">
        <f t="shared" si="6"/>
        <v>45961.495838965726</v>
      </c>
      <c r="J28" s="9">
        <f t="shared" si="6"/>
        <v>45961.495838965726</v>
      </c>
      <c r="K28" s="9">
        <f t="shared" si="6"/>
        <v>45961.495838965726</v>
      </c>
      <c r="L28" s="9">
        <f t="shared" si="6"/>
        <v>45961.495838965726</v>
      </c>
      <c r="M28" s="9">
        <f t="shared" si="6"/>
        <v>45961.495838965726</v>
      </c>
      <c r="N28" s="9">
        <f t="shared" si="6"/>
        <v>22917.7869662788</v>
      </c>
    </row>
    <row r="29" spans="2:14" ht="18" customHeight="1" thickBot="1" x14ac:dyDescent="0.25">
      <c r="B29" s="350" t="s">
        <v>104</v>
      </c>
      <c r="C29" s="8" t="s">
        <v>46</v>
      </c>
      <c r="D29" s="9">
        <f t="shared" ref="D29:N29" si="7">D12-D20</f>
        <v>0</v>
      </c>
      <c r="E29" s="9">
        <f t="shared" si="7"/>
        <v>0</v>
      </c>
      <c r="F29" s="9">
        <f t="shared" si="7"/>
        <v>10634.704259481154</v>
      </c>
      <c r="G29" s="9">
        <f t="shared" si="7"/>
        <v>26318.939326426836</v>
      </c>
      <c r="H29" s="9">
        <f t="shared" si="7"/>
        <v>31259.117989830007</v>
      </c>
      <c r="I29" s="9">
        <f t="shared" si="7"/>
        <v>31259.117989830007</v>
      </c>
      <c r="J29" s="9">
        <f t="shared" si="7"/>
        <v>31259.117989830007</v>
      </c>
      <c r="K29" s="9">
        <f t="shared" si="7"/>
        <v>31259.117989830007</v>
      </c>
      <c r="L29" s="9">
        <f t="shared" si="7"/>
        <v>31259.117989830007</v>
      </c>
      <c r="M29" s="9">
        <f t="shared" si="7"/>
        <v>31259.117989830007</v>
      </c>
      <c r="N29" s="9">
        <f t="shared" si="7"/>
        <v>15586.73828533989</v>
      </c>
    </row>
    <row r="30" spans="2:14" ht="15.75" customHeight="1" thickBot="1" x14ac:dyDescent="0.3">
      <c r="D30" s="416">
        <f>SUM(D22:N22)</f>
        <v>1001128</v>
      </c>
      <c r="E30" s="417"/>
      <c r="F30" s="417"/>
      <c r="G30" s="417"/>
      <c r="H30" s="417"/>
      <c r="I30" s="417"/>
      <c r="J30" s="417"/>
      <c r="K30" s="417"/>
      <c r="L30" s="417"/>
      <c r="M30" s="417"/>
      <c r="N30" s="418"/>
    </row>
    <row r="35" spans="8:8" x14ac:dyDescent="0.25">
      <c r="H35" s="413"/>
    </row>
  </sheetData>
  <mergeCells count="1">
    <mergeCell ref="D30:N30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91349-84B3-42C0-A65D-62925733958D}">
  <dimension ref="A1:AK17"/>
  <sheetViews>
    <sheetView showGridLines="0" zoomScale="60" zoomScaleNormal="60" workbookViewId="0">
      <pane xSplit="2" ySplit="4" topLeftCell="C5" activePane="bottomRight" state="frozen"/>
      <selection pane="topRight" activeCell="C1" sqref="C1"/>
      <selection pane="bottomLeft" activeCell="A6" sqref="A6"/>
      <selection pane="bottomRight" activeCell="AB43" sqref="AB43"/>
    </sheetView>
  </sheetViews>
  <sheetFormatPr defaultColWidth="25.42578125" defaultRowHeight="14.25" x14ac:dyDescent="0.2"/>
  <cols>
    <col min="1" max="1" width="11" style="49" customWidth="1"/>
    <col min="2" max="2" width="29.28515625" style="49" customWidth="1"/>
    <col min="3" max="3" width="10.7109375" style="49" customWidth="1"/>
    <col min="4" max="4" width="12.42578125" style="49" customWidth="1"/>
    <col min="5" max="5" width="15.28515625" style="49" customWidth="1"/>
    <col min="6" max="6" width="10.7109375" style="49" customWidth="1"/>
    <col min="7" max="7" width="12.140625" style="85" customWidth="1"/>
    <col min="8" max="11" width="10.7109375" style="49" customWidth="1"/>
    <col min="12" max="12" width="12.5703125" style="85" customWidth="1"/>
    <col min="13" max="14" width="10.7109375" style="49" customWidth="1"/>
    <col min="15" max="15" width="11.7109375" style="49" customWidth="1"/>
    <col min="16" max="16" width="10.7109375" style="49" customWidth="1"/>
    <col min="17" max="17" width="10.7109375" style="85" customWidth="1"/>
    <col min="18" max="21" width="11.28515625" style="49" customWidth="1"/>
    <col min="22" max="22" width="12.28515625" style="85" customWidth="1"/>
    <col min="23" max="26" width="11.7109375" style="49" customWidth="1"/>
    <col min="27" max="27" width="11.7109375" style="85" customWidth="1"/>
    <col min="28" max="31" width="11.42578125" style="49" customWidth="1"/>
    <col min="32" max="32" width="11.42578125" style="85" customWidth="1"/>
    <col min="33" max="36" width="12.5703125" style="49" customWidth="1"/>
    <col min="37" max="37" width="12.5703125" style="85" customWidth="1"/>
    <col min="38" max="16384" width="25.42578125" style="49"/>
  </cols>
  <sheetData>
    <row r="1" spans="1:37" ht="33.950000000000003" customHeight="1" x14ac:dyDescent="0.2">
      <c r="B1" s="212" t="s">
        <v>58</v>
      </c>
    </row>
    <row r="2" spans="1:37" s="102" customFormat="1" ht="18" customHeight="1" x14ac:dyDescent="0.25">
      <c r="B2" s="87"/>
      <c r="C2" s="434" t="s">
        <v>125</v>
      </c>
      <c r="D2" s="434"/>
      <c r="E2" s="434"/>
      <c r="F2" s="434"/>
      <c r="G2" s="434"/>
      <c r="H2" s="434" t="s">
        <v>126</v>
      </c>
      <c r="I2" s="434"/>
      <c r="J2" s="434"/>
      <c r="K2" s="434"/>
      <c r="L2" s="434"/>
      <c r="M2" s="434" t="s">
        <v>132</v>
      </c>
      <c r="N2" s="434"/>
      <c r="O2" s="434"/>
      <c r="P2" s="434"/>
      <c r="Q2" s="434"/>
      <c r="R2" s="434" t="s">
        <v>130</v>
      </c>
      <c r="S2" s="434"/>
      <c r="T2" s="434"/>
      <c r="U2" s="434"/>
      <c r="V2" s="434"/>
      <c r="W2" s="434" t="s">
        <v>127</v>
      </c>
      <c r="X2" s="434"/>
      <c r="Y2" s="434"/>
      <c r="Z2" s="434"/>
      <c r="AA2" s="434"/>
      <c r="AB2" s="434" t="s">
        <v>128</v>
      </c>
      <c r="AC2" s="434"/>
      <c r="AD2" s="434"/>
      <c r="AE2" s="434"/>
      <c r="AF2" s="434"/>
      <c r="AG2" s="434" t="s">
        <v>129</v>
      </c>
      <c r="AH2" s="434"/>
      <c r="AI2" s="434"/>
      <c r="AJ2" s="434"/>
      <c r="AK2" s="434"/>
    </row>
    <row r="3" spans="1:37" s="103" customFormat="1" ht="68.25" customHeight="1" x14ac:dyDescent="0.25">
      <c r="B3" s="87"/>
      <c r="C3" s="87" t="s">
        <v>25</v>
      </c>
      <c r="D3" s="87" t="s">
        <v>26</v>
      </c>
      <c r="E3" s="87" t="s">
        <v>27</v>
      </c>
      <c r="F3" s="87" t="s">
        <v>28</v>
      </c>
      <c r="G3" s="89" t="s">
        <v>29</v>
      </c>
      <c r="H3" s="90" t="s">
        <v>25</v>
      </c>
      <c r="I3" s="87" t="s">
        <v>26</v>
      </c>
      <c r="J3" s="87" t="s">
        <v>27</v>
      </c>
      <c r="K3" s="87" t="s">
        <v>28</v>
      </c>
      <c r="L3" s="89" t="s">
        <v>29</v>
      </c>
      <c r="M3" s="90" t="s">
        <v>25</v>
      </c>
      <c r="N3" s="87" t="s">
        <v>26</v>
      </c>
      <c r="O3" s="87" t="s">
        <v>27</v>
      </c>
      <c r="P3" s="87" t="s">
        <v>28</v>
      </c>
      <c r="Q3" s="89" t="s">
        <v>29</v>
      </c>
      <c r="R3" s="90" t="s">
        <v>25</v>
      </c>
      <c r="S3" s="87" t="s">
        <v>26</v>
      </c>
      <c r="T3" s="87" t="s">
        <v>27</v>
      </c>
      <c r="U3" s="87" t="s">
        <v>28</v>
      </c>
      <c r="V3" s="89" t="s">
        <v>29</v>
      </c>
      <c r="W3" s="90" t="s">
        <v>25</v>
      </c>
      <c r="X3" s="87" t="s">
        <v>26</v>
      </c>
      <c r="Y3" s="87" t="s">
        <v>27</v>
      </c>
      <c r="Z3" s="87" t="s">
        <v>28</v>
      </c>
      <c r="AA3" s="89" t="s">
        <v>29</v>
      </c>
      <c r="AB3" s="90" t="s">
        <v>25</v>
      </c>
      <c r="AC3" s="87" t="s">
        <v>26</v>
      </c>
      <c r="AD3" s="87" t="s">
        <v>27</v>
      </c>
      <c r="AE3" s="87" t="s">
        <v>28</v>
      </c>
      <c r="AF3" s="89" t="s">
        <v>29</v>
      </c>
      <c r="AG3" s="90" t="s">
        <v>25</v>
      </c>
      <c r="AH3" s="87" t="s">
        <v>26</v>
      </c>
      <c r="AI3" s="87" t="s">
        <v>27</v>
      </c>
      <c r="AJ3" s="87" t="s">
        <v>28</v>
      </c>
      <c r="AK3" s="89" t="s">
        <v>29</v>
      </c>
    </row>
    <row r="4" spans="1:37" s="88" customFormat="1" ht="15" customHeight="1" x14ac:dyDescent="0.25">
      <c r="B4" s="91">
        <v>1</v>
      </c>
      <c r="C4" s="91">
        <v>2</v>
      </c>
      <c r="D4" s="91">
        <v>3</v>
      </c>
      <c r="E4" s="91">
        <v>4</v>
      </c>
      <c r="F4" s="91">
        <v>5</v>
      </c>
      <c r="G4" s="92">
        <v>6</v>
      </c>
      <c r="H4" s="93">
        <v>7</v>
      </c>
      <c r="I4" s="91">
        <v>8</v>
      </c>
      <c r="J4" s="91">
        <v>9</v>
      </c>
      <c r="K4" s="91">
        <v>10</v>
      </c>
      <c r="L4" s="92">
        <v>11</v>
      </c>
      <c r="M4" s="93">
        <v>12</v>
      </c>
      <c r="N4" s="91">
        <v>13</v>
      </c>
      <c r="O4" s="91">
        <v>14</v>
      </c>
      <c r="P4" s="91">
        <v>15</v>
      </c>
      <c r="Q4" s="92">
        <v>16</v>
      </c>
      <c r="R4" s="93">
        <v>17</v>
      </c>
      <c r="S4" s="91">
        <v>18</v>
      </c>
      <c r="T4" s="91">
        <v>19</v>
      </c>
      <c r="U4" s="91">
        <v>20</v>
      </c>
      <c r="V4" s="92">
        <v>21</v>
      </c>
      <c r="W4" s="93">
        <v>22</v>
      </c>
      <c r="X4" s="91">
        <v>23</v>
      </c>
      <c r="Y4" s="91">
        <v>24</v>
      </c>
      <c r="Z4" s="91">
        <v>25</v>
      </c>
      <c r="AA4" s="92">
        <v>26</v>
      </c>
      <c r="AB4" s="93">
        <v>27</v>
      </c>
      <c r="AC4" s="91">
        <v>28</v>
      </c>
      <c r="AD4" s="91">
        <v>29</v>
      </c>
      <c r="AE4" s="91">
        <v>30</v>
      </c>
      <c r="AF4" s="92">
        <v>31</v>
      </c>
      <c r="AG4" s="93">
        <v>32</v>
      </c>
      <c r="AH4" s="91">
        <v>33</v>
      </c>
      <c r="AI4" s="91">
        <v>34</v>
      </c>
      <c r="AJ4" s="91">
        <v>35</v>
      </c>
      <c r="AK4" s="92">
        <v>36</v>
      </c>
    </row>
    <row r="5" spans="1:37" s="86" customFormat="1" ht="26.25" customHeight="1" x14ac:dyDescent="0.25">
      <c r="A5" s="436" t="s">
        <v>31</v>
      </c>
      <c r="B5" s="116" t="s">
        <v>54</v>
      </c>
      <c r="C5" s="95">
        <f>AVERAGE('Исходные данные_котельные'!$D$7:$F$7)</f>
        <v>167.56666666666669</v>
      </c>
      <c r="D5" s="95">
        <f>SUM('Исходные данные_отпуск тепла'!L7:Q7)</f>
        <v>29.381214999999997</v>
      </c>
      <c r="E5" s="95">
        <f t="shared" ref="E5:E7" si="0">C5*D5</f>
        <v>4923.3122601666673</v>
      </c>
      <c r="F5" s="95">
        <f>'Природный газ'!$B$4</f>
        <v>1.59</v>
      </c>
      <c r="G5" s="139">
        <f t="shared" ref="G5:G7" si="1">E5*F5*1</f>
        <v>7828.0664936650019</v>
      </c>
      <c r="H5" s="96">
        <f>AVERAGE('Исходные данные_котельные'!$D$5:$F$5)</f>
        <v>164.59</v>
      </c>
      <c r="I5" s="95">
        <f>SUM('Исходные данные_отпуск тепла'!L6:Q6)</f>
        <v>16.850891000000001</v>
      </c>
      <c r="J5" s="95">
        <f t="shared" ref="J5:J8" si="2">H5*I5</f>
        <v>2773.4881496900002</v>
      </c>
      <c r="K5" s="95">
        <f>'Природный газ'!$B$4</f>
        <v>1.59</v>
      </c>
      <c r="L5" s="139">
        <f t="shared" ref="L5:L8" si="3">J5*K5*1</f>
        <v>4409.8461580071007</v>
      </c>
      <c r="M5" s="96">
        <f>AVERAGE('Исходные данные_котельные'!$D$6:$F$6)</f>
        <v>155.29999999999998</v>
      </c>
      <c r="N5" s="95">
        <f>SUM('Исходные данные_отпуск тепла'!F8:Q8)</f>
        <v>30.721299999999999</v>
      </c>
      <c r="O5" s="95">
        <f t="shared" ref="O5:O15" si="4">M5*N5</f>
        <v>4771.0178899999992</v>
      </c>
      <c r="P5" s="95">
        <f>'Природный газ'!$B$4</f>
        <v>1.59</v>
      </c>
      <c r="Q5" s="139">
        <f t="shared" ref="Q5:Q15" si="5">O5*P5*1</f>
        <v>7585.9184450999992</v>
      </c>
      <c r="R5" s="96">
        <f>AVERAGE('Исходные данные_котельные'!$D$8:$F$8)</f>
        <v>155.79999999999998</v>
      </c>
      <c r="S5" s="95">
        <f>SUM('Исходные данные_отпуск тепла'!F9:Q9)</f>
        <v>0</v>
      </c>
      <c r="T5" s="95">
        <f t="shared" ref="T5:T15" si="6">R5*S5</f>
        <v>0</v>
      </c>
      <c r="U5" s="95">
        <f>'Природный газ'!$B$4</f>
        <v>1.59</v>
      </c>
      <c r="V5" s="139">
        <f t="shared" ref="V5:V15" si="7">T5*U5*1</f>
        <v>0</v>
      </c>
      <c r="W5" s="96">
        <f>AVERAGE('Исходные данные_котельные'!$D$9:$F$9)</f>
        <v>158.26666666666668</v>
      </c>
      <c r="X5" s="95">
        <f>SUM('Исходные данные_отпуск тепла'!F10:Q10)</f>
        <v>28.848801999999999</v>
      </c>
      <c r="Y5" s="95">
        <f t="shared" ref="Y5:Y15" si="8">W5*X5</f>
        <v>4565.8037298666668</v>
      </c>
      <c r="Z5" s="95">
        <f>'Природный газ'!$B$4</f>
        <v>1.59</v>
      </c>
      <c r="AA5" s="139">
        <f t="shared" ref="AA5:AA15" si="9">Y5*Z5*1</f>
        <v>7259.6279304880009</v>
      </c>
      <c r="AB5" s="96">
        <f>AVERAGE('Исходные данные_котельные'!$D$10:$F$10)</f>
        <v>153.83333333333334</v>
      </c>
      <c r="AC5" s="95">
        <f>SUM('Исходные данные_отпуск тепла'!F11:Q11)</f>
        <v>0</v>
      </c>
      <c r="AD5" s="95">
        <f t="shared" ref="AD5:AD15" si="10">AB5*AC5</f>
        <v>0</v>
      </c>
      <c r="AE5" s="95">
        <f>'Природный газ'!$B$4</f>
        <v>1.59</v>
      </c>
      <c r="AF5" s="139">
        <f t="shared" ref="AF5:AF15" si="11">AD5*AE5*1</f>
        <v>0</v>
      </c>
      <c r="AG5" s="96">
        <f>AVERAGE('Исходные данные_котельные'!$D$5:$F$5)</f>
        <v>164.59</v>
      </c>
      <c r="AH5" s="95">
        <f>SUM('Исходные данные_отпуск тепла'!F12:Q12)</f>
        <v>0</v>
      </c>
      <c r="AI5" s="95">
        <f t="shared" ref="AI5:AI15" si="12">AG5*AH5</f>
        <v>0</v>
      </c>
      <c r="AJ5" s="95">
        <f>'Природный газ'!$B$4</f>
        <v>1.59</v>
      </c>
      <c r="AK5" s="139">
        <f t="shared" ref="AK5:AK15" si="13">AI5*AJ5*1</f>
        <v>0</v>
      </c>
    </row>
    <row r="6" spans="1:37" s="86" customFormat="1" ht="26.25" customHeight="1" x14ac:dyDescent="0.25">
      <c r="A6" s="436"/>
      <c r="B6" s="116">
        <v>2022</v>
      </c>
      <c r="C6" s="95">
        <f>AVERAGE('Исходные данные_котельные'!$D$7:$F$7)</f>
        <v>167.56666666666669</v>
      </c>
      <c r="D6" s="95">
        <f>SUM('Исходные данные_отпуск тепла'!R7:AC7)</f>
        <v>60.790778000000003</v>
      </c>
      <c r="E6" s="95">
        <f t="shared" si="0"/>
        <v>10186.508033533335</v>
      </c>
      <c r="F6" s="95">
        <f>'Природный газ'!$B$4</f>
        <v>1.59</v>
      </c>
      <c r="G6" s="139">
        <f t="shared" si="1"/>
        <v>16196.547773318003</v>
      </c>
      <c r="H6" s="96">
        <f>AVERAGE('Исходные данные_котельные'!$D$5:$F$5)</f>
        <v>164.59</v>
      </c>
      <c r="I6" s="95">
        <f>SUM('Исходные данные_отпуск тепла'!R6:AC6)</f>
        <v>38.774937000000001</v>
      </c>
      <c r="J6" s="95">
        <f t="shared" si="2"/>
        <v>6381.9668808300003</v>
      </c>
      <c r="K6" s="95">
        <f>'Природный газ'!$B$4</f>
        <v>1.59</v>
      </c>
      <c r="L6" s="139">
        <f t="shared" si="3"/>
        <v>10147.327340519701</v>
      </c>
      <c r="M6" s="96">
        <f>AVERAGE('Исходные данные_котельные'!$D$6:$F$6)</f>
        <v>155.29999999999998</v>
      </c>
      <c r="N6" s="95">
        <f>SUM('Исходные данные_отпуск тепла'!R8:AC8)</f>
        <v>62.207599999999999</v>
      </c>
      <c r="O6" s="95">
        <f t="shared" si="4"/>
        <v>9660.8402799999985</v>
      </c>
      <c r="P6" s="95">
        <f>'Природный газ'!$B$4</f>
        <v>1.59</v>
      </c>
      <c r="Q6" s="139">
        <f t="shared" si="5"/>
        <v>15360.736045199998</v>
      </c>
      <c r="R6" s="96">
        <f>AVERAGE('Исходные данные_котельные'!$D$8:$F$8)</f>
        <v>155.79999999999998</v>
      </c>
      <c r="S6" s="95">
        <f>SUM('Исходные данные_отпуск тепла'!R9:AC9)</f>
        <v>1.5860690000000002</v>
      </c>
      <c r="T6" s="95">
        <f t="shared" si="6"/>
        <v>247.1095502</v>
      </c>
      <c r="U6" s="95">
        <f>'Природный газ'!$B$4</f>
        <v>1.59</v>
      </c>
      <c r="V6" s="139">
        <f t="shared" si="7"/>
        <v>392.90418481800003</v>
      </c>
      <c r="W6" s="96">
        <f>AVERAGE('Исходные данные_котельные'!$D$9:$F$9)</f>
        <v>158.26666666666668</v>
      </c>
      <c r="X6" s="95">
        <f>SUM('Исходные данные_отпуск тепла'!R10:AC10)</f>
        <v>46.600445999999998</v>
      </c>
      <c r="Y6" s="95">
        <f t="shared" si="8"/>
        <v>7375.2972536000007</v>
      </c>
      <c r="Z6" s="95">
        <f>'Природный газ'!$B$4</f>
        <v>1.59</v>
      </c>
      <c r="AA6" s="139">
        <f t="shared" si="9"/>
        <v>11726.722633224002</v>
      </c>
      <c r="AB6" s="96">
        <f>AVERAGE('Исходные данные_котельные'!$D$10:$F$10)</f>
        <v>153.83333333333334</v>
      </c>
      <c r="AC6" s="95">
        <f>SUM('Исходные данные_отпуск тепла'!R11:AC11)</f>
        <v>0</v>
      </c>
      <c r="AD6" s="95">
        <f t="shared" si="10"/>
        <v>0</v>
      </c>
      <c r="AE6" s="95">
        <f>'Природный газ'!$B$4</f>
        <v>1.59</v>
      </c>
      <c r="AF6" s="139">
        <f t="shared" si="11"/>
        <v>0</v>
      </c>
      <c r="AG6" s="96">
        <f>AVERAGE('Исходные данные_котельные'!$D$5:$F$5)</f>
        <v>164.59</v>
      </c>
      <c r="AH6" s="95">
        <f>SUM('Исходные данные_отпуск тепла'!R12:AC12)</f>
        <v>0</v>
      </c>
      <c r="AI6" s="95">
        <f t="shared" si="12"/>
        <v>0</v>
      </c>
      <c r="AJ6" s="95">
        <f>'Природный газ'!$B$4</f>
        <v>1.59</v>
      </c>
      <c r="AK6" s="139">
        <f t="shared" si="13"/>
        <v>0</v>
      </c>
    </row>
    <row r="7" spans="1:37" s="118" customFormat="1" ht="26.25" customHeight="1" x14ac:dyDescent="0.25">
      <c r="A7" s="436"/>
      <c r="B7" s="116">
        <v>2023</v>
      </c>
      <c r="C7" s="95">
        <f>AVERAGE('Исходные данные_котельные'!$D$7:$F$7)</f>
        <v>167.56666666666669</v>
      </c>
      <c r="D7" s="95">
        <f>SUM('Исходные данные_отпуск тепла'!AD7:AO7)</f>
        <v>58.539195999999997</v>
      </c>
      <c r="E7" s="95">
        <f t="shared" si="0"/>
        <v>9809.2179430666674</v>
      </c>
      <c r="F7" s="95">
        <f>'Природный газ'!$B$4</f>
        <v>1.59</v>
      </c>
      <c r="G7" s="139">
        <f t="shared" si="1"/>
        <v>15596.656529476002</v>
      </c>
      <c r="H7" s="96">
        <f>AVERAGE('Исходные данные_котельные'!$D$5:$F$5)</f>
        <v>164.59</v>
      </c>
      <c r="I7" s="95">
        <f>SUM('Исходные данные_отпуск тепла'!AD6:AO6)</f>
        <v>37.842919000000002</v>
      </c>
      <c r="J7" s="95">
        <f t="shared" si="2"/>
        <v>6228.5660382100004</v>
      </c>
      <c r="K7" s="95">
        <f>'Природный газ'!$B$4</f>
        <v>1.59</v>
      </c>
      <c r="L7" s="139">
        <f t="shared" si="3"/>
        <v>9903.4200007539021</v>
      </c>
      <c r="M7" s="96">
        <f>AVERAGE('Исходные данные_котельные'!$D$6:$F$6)</f>
        <v>155.29999999999998</v>
      </c>
      <c r="N7" s="95">
        <f>SUM('Исходные данные_отпуск тепла'!AD8:AO8)</f>
        <v>87.920999999999992</v>
      </c>
      <c r="O7" s="95">
        <f t="shared" si="4"/>
        <v>13654.131299999997</v>
      </c>
      <c r="P7" s="95">
        <f>'Природный газ'!$B$4</f>
        <v>1.59</v>
      </c>
      <c r="Q7" s="139">
        <f t="shared" si="5"/>
        <v>21710.068766999997</v>
      </c>
      <c r="R7" s="96">
        <f>AVERAGE('Исходные данные_котельные'!$D$8:$F$8)</f>
        <v>155.79999999999998</v>
      </c>
      <c r="S7" s="95">
        <f>SUM('Исходные данные_отпуск тепла'!AD9:AO9)</f>
        <v>4.9927029999999997</v>
      </c>
      <c r="T7" s="95">
        <f t="shared" si="6"/>
        <v>777.86312739999983</v>
      </c>
      <c r="U7" s="95">
        <f>'Природный газ'!$B$4</f>
        <v>1.59</v>
      </c>
      <c r="V7" s="139">
        <f t="shared" si="7"/>
        <v>1236.8023725659998</v>
      </c>
      <c r="W7" s="96">
        <f>AVERAGE('Исходные данные_котельные'!$D$9:$F$9)</f>
        <v>158.26666666666668</v>
      </c>
      <c r="X7" s="95">
        <f>SUM('Исходные данные_отпуск тепла'!AD10:AO10)</f>
        <v>64.590667999999994</v>
      </c>
      <c r="Y7" s="95">
        <f t="shared" si="8"/>
        <v>10222.549722133333</v>
      </c>
      <c r="Z7" s="95">
        <f>'Природный газ'!$B$4</f>
        <v>1.59</v>
      </c>
      <c r="AA7" s="139">
        <f t="shared" si="9"/>
        <v>16253.854058192001</v>
      </c>
      <c r="AB7" s="96">
        <f>AVERAGE('Исходные данные_котельные'!$D$10:$F$10)</f>
        <v>153.83333333333334</v>
      </c>
      <c r="AC7" s="95">
        <f>SUM('Исходные данные_отпуск тепла'!AD11:AO11)</f>
        <v>0</v>
      </c>
      <c r="AD7" s="95">
        <f t="shared" si="10"/>
        <v>0</v>
      </c>
      <c r="AE7" s="95">
        <f>'Природный газ'!$B$4</f>
        <v>1.59</v>
      </c>
      <c r="AF7" s="139">
        <f t="shared" si="11"/>
        <v>0</v>
      </c>
      <c r="AG7" s="96">
        <f>AVERAGE('Исходные данные_котельные'!$D$5:$F$5)</f>
        <v>164.59</v>
      </c>
      <c r="AH7" s="95">
        <f>SUM('Исходные данные_отпуск тепла'!AD12:AO12)</f>
        <v>58.968200000000003</v>
      </c>
      <c r="AI7" s="95">
        <f t="shared" si="12"/>
        <v>9705.5760380000011</v>
      </c>
      <c r="AJ7" s="95">
        <f>'Природный газ'!$B$4</f>
        <v>1.59</v>
      </c>
      <c r="AK7" s="139">
        <f t="shared" si="13"/>
        <v>15431.865900420002</v>
      </c>
    </row>
    <row r="8" spans="1:37" s="132" customFormat="1" ht="26.25" customHeight="1" thickBot="1" x14ac:dyDescent="0.3">
      <c r="A8" s="436"/>
      <c r="B8" s="127">
        <v>2024</v>
      </c>
      <c r="C8" s="128">
        <f>AVERAGE('Исходные данные_котельные'!$D$7:$F$7)</f>
        <v>167.56666666666669</v>
      </c>
      <c r="D8" s="128">
        <f>SUM('Исходные данные_отпуск тепла'!AP7:BA7)</f>
        <v>70.513253000000006</v>
      </c>
      <c r="E8" s="128">
        <f t="shared" ref="E8:E15" si="14">C8*D8</f>
        <v>11815.670761033336</v>
      </c>
      <c r="F8" s="130">
        <f>'Природный газ'!$B$4</f>
        <v>1.59</v>
      </c>
      <c r="G8" s="140">
        <f t="shared" ref="G8:G15" si="15">E8*F8*1</f>
        <v>18786.916510043004</v>
      </c>
      <c r="H8" s="131">
        <f>AVERAGE('Исходные данные_котельные'!$D$5:$F$5)</f>
        <v>164.59</v>
      </c>
      <c r="I8" s="130">
        <f>SUM('Исходные данные_отпуск тепла'!AP6:BA6)</f>
        <v>36.591854999999995</v>
      </c>
      <c r="J8" s="130">
        <f t="shared" si="2"/>
        <v>6022.6534144499992</v>
      </c>
      <c r="K8" s="130">
        <f>'Природный газ'!$B$4</f>
        <v>1.59</v>
      </c>
      <c r="L8" s="140">
        <f t="shared" si="3"/>
        <v>9576.0189289754999</v>
      </c>
      <c r="M8" s="96">
        <f>AVERAGE('Исходные данные_котельные'!$D$6:$F$6)</f>
        <v>155.29999999999998</v>
      </c>
      <c r="N8" s="130">
        <f>SUM('Исходные данные_отпуск тепла'!AP8:BA8)</f>
        <v>59.739899999999999</v>
      </c>
      <c r="O8" s="130">
        <f t="shared" si="4"/>
        <v>9277.6064699999988</v>
      </c>
      <c r="P8" s="130">
        <f>'Природный газ'!$B$4</f>
        <v>1.59</v>
      </c>
      <c r="Q8" s="140">
        <f t="shared" si="5"/>
        <v>14751.3942873</v>
      </c>
      <c r="R8" s="96">
        <f>AVERAGE('Исходные данные_котельные'!$D$8:$F$8)</f>
        <v>155.79999999999998</v>
      </c>
      <c r="S8" s="130">
        <f>SUM('Исходные данные_отпуск тепла'!AP9:BA9)</f>
        <v>4.5959430000000001</v>
      </c>
      <c r="T8" s="130">
        <f t="shared" si="6"/>
        <v>716.04791939999996</v>
      </c>
      <c r="U8" s="130">
        <f>'Природный газ'!$B$4</f>
        <v>1.59</v>
      </c>
      <c r="V8" s="140">
        <f t="shared" si="7"/>
        <v>1138.5161918460001</v>
      </c>
      <c r="W8" s="96">
        <f>AVERAGE('Исходные данные_котельные'!$D$9:$F$9)</f>
        <v>158.26666666666668</v>
      </c>
      <c r="X8" s="130">
        <f>SUM('Исходные данные_отпуск тепла'!AP10:BA10)</f>
        <v>84.160978</v>
      </c>
      <c r="Y8" s="130">
        <f t="shared" si="8"/>
        <v>13319.877451466667</v>
      </c>
      <c r="Z8" s="130">
        <f>'Природный газ'!$B$4</f>
        <v>1.59</v>
      </c>
      <c r="AA8" s="140">
        <f t="shared" si="9"/>
        <v>21178.605147832004</v>
      </c>
      <c r="AB8" s="96">
        <f>AVERAGE('Исходные данные_котельные'!$D$10:$F$10)</f>
        <v>153.83333333333334</v>
      </c>
      <c r="AC8" s="130">
        <f>SUM('Исходные данные_отпуск тепла'!AP11:BA11)</f>
        <v>75.263500000000008</v>
      </c>
      <c r="AD8" s="130">
        <f t="shared" si="10"/>
        <v>11578.035083333336</v>
      </c>
      <c r="AE8" s="130">
        <f>'Природный газ'!$B$4</f>
        <v>1.59</v>
      </c>
      <c r="AF8" s="140">
        <f t="shared" si="11"/>
        <v>18409.075782500004</v>
      </c>
      <c r="AG8" s="96">
        <f>AVERAGE('Исходные данные_котельные'!$D$5:$F$5)</f>
        <v>164.59</v>
      </c>
      <c r="AH8" s="130">
        <f>SUM('Исходные данные_отпуск тепла'!AP12:BA12)</f>
        <v>134.75600000000003</v>
      </c>
      <c r="AI8" s="130">
        <f t="shared" si="12"/>
        <v>22179.490040000004</v>
      </c>
      <c r="AJ8" s="130">
        <f>'Природный газ'!$B$4</f>
        <v>1.59</v>
      </c>
      <c r="AK8" s="140">
        <f t="shared" si="13"/>
        <v>35265.389163600012</v>
      </c>
    </row>
    <row r="9" spans="1:37" s="86" customFormat="1" ht="26.25" customHeight="1" x14ac:dyDescent="0.25">
      <c r="A9" s="435" t="s">
        <v>30</v>
      </c>
      <c r="B9" s="97">
        <v>2025</v>
      </c>
      <c r="C9" s="98">
        <f>AVERAGE('Исходные данные_котельные'!$D$7:$F$7)</f>
        <v>167.56666666666669</v>
      </c>
      <c r="D9" s="98">
        <f>AVERAGE('Исходные данные_котельные'!$D$13:$F$13)</f>
        <v>63.719333333333331</v>
      </c>
      <c r="E9" s="98">
        <f t="shared" si="14"/>
        <v>10677.236288888889</v>
      </c>
      <c r="F9" s="98">
        <f>'Природный газ'!$B$4</f>
        <v>1.59</v>
      </c>
      <c r="G9" s="141">
        <f t="shared" si="15"/>
        <v>16976.805699333334</v>
      </c>
      <c r="H9" s="129">
        <f>AVERAGE('Исходные данные_котельные'!$D$5:$F$5)</f>
        <v>164.59</v>
      </c>
      <c r="I9" s="98">
        <f>AVERAGE('Исходные данные_котельные'!$D$12:$F$12)</f>
        <v>43.592333333333329</v>
      </c>
      <c r="J9" s="98">
        <f t="shared" ref="J9:J15" si="16">H9*I9</f>
        <v>7174.8621433333328</v>
      </c>
      <c r="K9" s="98">
        <f>'Природный газ'!$B$4</f>
        <v>1.59</v>
      </c>
      <c r="L9" s="141">
        <f t="shared" ref="L9:L15" si="17">J9*K9*1</f>
        <v>11408.030807900001</v>
      </c>
      <c r="M9" s="129">
        <f>AVERAGE('Исходные данные_котельные'!$D$6:$F$6)</f>
        <v>155.29999999999998</v>
      </c>
      <c r="N9" s="98">
        <f>AVERAGE('Исходные данные_котельные'!$D$14:$F$14)</f>
        <v>75.624159333333324</v>
      </c>
      <c r="O9" s="98">
        <f t="shared" si="4"/>
        <v>11744.431944466663</v>
      </c>
      <c r="P9" s="98">
        <f>'Природный газ'!$B$4</f>
        <v>1.59</v>
      </c>
      <c r="Q9" s="141">
        <f t="shared" si="5"/>
        <v>18673.646791701995</v>
      </c>
      <c r="R9" s="129">
        <f>AVERAGE('Исходные данные_котельные'!$D$8:$F$8)</f>
        <v>155.79999999999998</v>
      </c>
      <c r="S9" s="98">
        <f>AVERAGE('Исходные данные_котельные'!$D$15:$F$15)</f>
        <v>2.179767</v>
      </c>
      <c r="T9" s="98">
        <f t="shared" si="6"/>
        <v>339.60769859999999</v>
      </c>
      <c r="U9" s="98">
        <f>'Природный газ'!$B$4</f>
        <v>1.59</v>
      </c>
      <c r="V9" s="141">
        <f t="shared" si="7"/>
        <v>539.97624077399996</v>
      </c>
      <c r="W9" s="129">
        <f>AVERAGE('Исходные данные_котельные'!$D$9:$F$9)</f>
        <v>158.26666666666668</v>
      </c>
      <c r="X9" s="98">
        <f>AVERAGE('Исходные данные_котельные'!$D$16:$F$16)</f>
        <v>22.765420333333335</v>
      </c>
      <c r="Y9" s="98">
        <f t="shared" si="8"/>
        <v>3603.0071914222226</v>
      </c>
      <c r="Z9" s="98">
        <f>'Природный газ'!$B$4</f>
        <v>1.59</v>
      </c>
      <c r="AA9" s="141">
        <f t="shared" si="9"/>
        <v>5728.7814343613345</v>
      </c>
      <c r="AB9" s="129">
        <f>AVERAGE('Исходные данные_котельные'!$D$10:$F$10)</f>
        <v>153.83333333333334</v>
      </c>
      <c r="AC9" s="98">
        <f>AVERAGE('Исходные данные_котельные'!$D$17:$F$17)</f>
        <v>257.91360466666663</v>
      </c>
      <c r="AD9" s="98">
        <f t="shared" si="10"/>
        <v>39675.709517888885</v>
      </c>
      <c r="AE9" s="98">
        <f>'Природный газ'!$B$4</f>
        <v>1.59</v>
      </c>
      <c r="AF9" s="141">
        <f t="shared" si="11"/>
        <v>63084.37813344333</v>
      </c>
      <c r="AG9" s="96">
        <f>AVERAGE('Исходные данные_котельные'!$D$5:$F$5)</f>
        <v>164.59</v>
      </c>
      <c r="AH9" s="98">
        <f>AVERAGE('Исходные данные_котельные'!$D$18:$F$18)</f>
        <v>163.87146266666664</v>
      </c>
      <c r="AI9" s="98">
        <f t="shared" si="12"/>
        <v>26971.604040306665</v>
      </c>
      <c r="AJ9" s="98">
        <f>'Природный газ'!$B$4</f>
        <v>1.59</v>
      </c>
      <c r="AK9" s="141">
        <f t="shared" si="13"/>
        <v>42884.850424087599</v>
      </c>
    </row>
    <row r="10" spans="1:37" s="86" customFormat="1" ht="26.25" customHeight="1" x14ac:dyDescent="0.25">
      <c r="A10" s="435"/>
      <c r="B10" s="94">
        <v>2026</v>
      </c>
      <c r="C10" s="95">
        <f>AVERAGE('Исходные данные_котельные'!$D$7:$F$7)</f>
        <v>167.56666666666669</v>
      </c>
      <c r="D10" s="98">
        <f>AVERAGE('Исходные данные_котельные'!$D$13:$F$13)</f>
        <v>63.719333333333331</v>
      </c>
      <c r="E10" s="95">
        <f t="shared" si="14"/>
        <v>10677.236288888889</v>
      </c>
      <c r="F10" s="95">
        <f>'Природный газ'!$B$4</f>
        <v>1.59</v>
      </c>
      <c r="G10" s="139">
        <f t="shared" si="15"/>
        <v>16976.805699333334</v>
      </c>
      <c r="H10" s="96">
        <f>AVERAGE('Исходные данные_котельные'!$D$5:$F$5)</f>
        <v>164.59</v>
      </c>
      <c r="I10" s="98">
        <f>AVERAGE('Исходные данные_котельные'!$D$12:$F$12)</f>
        <v>43.592333333333329</v>
      </c>
      <c r="J10" s="98">
        <f t="shared" si="16"/>
        <v>7174.8621433333328</v>
      </c>
      <c r="K10" s="98">
        <f>'Природный газ'!$B$4</f>
        <v>1.59</v>
      </c>
      <c r="L10" s="141">
        <f t="shared" si="17"/>
        <v>11408.030807900001</v>
      </c>
      <c r="M10" s="129">
        <f>AVERAGE('Исходные данные_котельные'!$D$6:$F$6)</f>
        <v>155.29999999999998</v>
      </c>
      <c r="N10" s="98">
        <f>AVERAGE('Исходные данные_котельные'!$D$14:$F$14)</f>
        <v>75.624159333333324</v>
      </c>
      <c r="O10" s="98">
        <f t="shared" si="4"/>
        <v>11744.431944466663</v>
      </c>
      <c r="P10" s="98">
        <f>'Природный газ'!$B$4</f>
        <v>1.59</v>
      </c>
      <c r="Q10" s="141">
        <f t="shared" si="5"/>
        <v>18673.646791701995</v>
      </c>
      <c r="R10" s="129">
        <f>AVERAGE('Исходные данные_котельные'!$D$8:$F$8)</f>
        <v>155.79999999999998</v>
      </c>
      <c r="S10" s="98">
        <f>AVERAGE('Исходные данные_котельные'!$D$15:$F$15)</f>
        <v>2.179767</v>
      </c>
      <c r="T10" s="98">
        <f t="shared" si="6"/>
        <v>339.60769859999999</v>
      </c>
      <c r="U10" s="98">
        <f>'Природный газ'!$B$4</f>
        <v>1.59</v>
      </c>
      <c r="V10" s="141">
        <f t="shared" si="7"/>
        <v>539.97624077399996</v>
      </c>
      <c r="W10" s="129">
        <f>AVERAGE('Исходные данные_котельные'!$D$9:$F$9)</f>
        <v>158.26666666666668</v>
      </c>
      <c r="X10" s="98">
        <f>AVERAGE('Исходные данные_котельные'!$D$16:$F$16)</f>
        <v>22.765420333333335</v>
      </c>
      <c r="Y10" s="98">
        <f t="shared" si="8"/>
        <v>3603.0071914222226</v>
      </c>
      <c r="Z10" s="98">
        <f>'Природный газ'!$B$4</f>
        <v>1.59</v>
      </c>
      <c r="AA10" s="141">
        <f t="shared" si="9"/>
        <v>5728.7814343613345</v>
      </c>
      <c r="AB10" s="129">
        <f>AVERAGE('Исходные данные_котельные'!$D$10:$F$10)</f>
        <v>153.83333333333334</v>
      </c>
      <c r="AC10" s="98">
        <f>AVERAGE('Исходные данные_котельные'!$D$17:$F$17)</f>
        <v>257.91360466666663</v>
      </c>
      <c r="AD10" s="98">
        <f t="shared" si="10"/>
        <v>39675.709517888885</v>
      </c>
      <c r="AE10" s="98">
        <f>'Природный газ'!$B$4</f>
        <v>1.59</v>
      </c>
      <c r="AF10" s="141">
        <f t="shared" si="11"/>
        <v>63084.37813344333</v>
      </c>
      <c r="AG10" s="96">
        <f>AVERAGE('Исходные данные_котельные'!$D$5:$F$5)</f>
        <v>164.59</v>
      </c>
      <c r="AH10" s="98">
        <f>AVERAGE('Исходные данные_котельные'!$D$18:$F$18)</f>
        <v>163.87146266666664</v>
      </c>
      <c r="AI10" s="98">
        <f t="shared" si="12"/>
        <v>26971.604040306665</v>
      </c>
      <c r="AJ10" s="98">
        <f>'Природный газ'!$B$4</f>
        <v>1.59</v>
      </c>
      <c r="AK10" s="141">
        <f t="shared" si="13"/>
        <v>42884.850424087599</v>
      </c>
    </row>
    <row r="11" spans="1:37" s="86" customFormat="1" ht="26.25" customHeight="1" x14ac:dyDescent="0.25">
      <c r="A11" s="435"/>
      <c r="B11" s="94">
        <v>2027</v>
      </c>
      <c r="C11" s="95">
        <f>AVERAGE('Исходные данные_котельные'!$D$7:$F$7)</f>
        <v>167.56666666666669</v>
      </c>
      <c r="D11" s="98">
        <f>AVERAGE('Исходные данные_котельные'!$D$13:$F$13)</f>
        <v>63.719333333333331</v>
      </c>
      <c r="E11" s="95">
        <f t="shared" si="14"/>
        <v>10677.236288888889</v>
      </c>
      <c r="F11" s="95">
        <f>'Природный газ'!$B$4</f>
        <v>1.59</v>
      </c>
      <c r="G11" s="139">
        <f t="shared" si="15"/>
        <v>16976.805699333334</v>
      </c>
      <c r="H11" s="96">
        <f>AVERAGE('Исходные данные_котельные'!$D$5:$F$5)</f>
        <v>164.59</v>
      </c>
      <c r="I11" s="98">
        <f>AVERAGE('Исходные данные_котельные'!$D$12:$F$12)</f>
        <v>43.592333333333329</v>
      </c>
      <c r="J11" s="98">
        <f t="shared" si="16"/>
        <v>7174.8621433333328</v>
      </c>
      <c r="K11" s="98">
        <f>'Природный газ'!$B$4</f>
        <v>1.59</v>
      </c>
      <c r="L11" s="141">
        <f t="shared" si="17"/>
        <v>11408.030807900001</v>
      </c>
      <c r="M11" s="129">
        <f>AVERAGE('Исходные данные_котельные'!$D$6:$F$6)</f>
        <v>155.29999999999998</v>
      </c>
      <c r="N11" s="98">
        <f>AVERAGE('Исходные данные_котельные'!$D$14:$F$14)</f>
        <v>75.624159333333324</v>
      </c>
      <c r="O11" s="98">
        <f t="shared" si="4"/>
        <v>11744.431944466663</v>
      </c>
      <c r="P11" s="98">
        <f>'Природный газ'!$B$4</f>
        <v>1.59</v>
      </c>
      <c r="Q11" s="141">
        <f t="shared" si="5"/>
        <v>18673.646791701995</v>
      </c>
      <c r="R11" s="129">
        <f>AVERAGE('Исходные данные_котельные'!$D$8:$F$8)</f>
        <v>155.79999999999998</v>
      </c>
      <c r="S11" s="98">
        <f>AVERAGE('Исходные данные_котельные'!$D$15:$F$15)</f>
        <v>2.179767</v>
      </c>
      <c r="T11" s="98">
        <f t="shared" si="6"/>
        <v>339.60769859999999</v>
      </c>
      <c r="U11" s="98">
        <f>'Природный газ'!$B$4</f>
        <v>1.59</v>
      </c>
      <c r="V11" s="141">
        <f t="shared" si="7"/>
        <v>539.97624077399996</v>
      </c>
      <c r="W11" s="129">
        <f>AVERAGE('Исходные данные_котельные'!$D$9:$F$9)</f>
        <v>158.26666666666668</v>
      </c>
      <c r="X11" s="98">
        <f>AVERAGE('Исходные данные_котельные'!$D$16:$F$16)</f>
        <v>22.765420333333335</v>
      </c>
      <c r="Y11" s="98">
        <f t="shared" si="8"/>
        <v>3603.0071914222226</v>
      </c>
      <c r="Z11" s="98">
        <f>'Природный газ'!$B$4</f>
        <v>1.59</v>
      </c>
      <c r="AA11" s="141">
        <f t="shared" si="9"/>
        <v>5728.7814343613345</v>
      </c>
      <c r="AB11" s="129">
        <f>AVERAGE('Исходные данные_котельные'!$D$10:$F$10)</f>
        <v>153.83333333333334</v>
      </c>
      <c r="AC11" s="98">
        <f>AVERAGE('Исходные данные_котельные'!$D$17:$F$17)</f>
        <v>257.91360466666663</v>
      </c>
      <c r="AD11" s="98">
        <f t="shared" si="10"/>
        <v>39675.709517888885</v>
      </c>
      <c r="AE11" s="98">
        <f>'Природный газ'!$B$4</f>
        <v>1.59</v>
      </c>
      <c r="AF11" s="141">
        <f t="shared" si="11"/>
        <v>63084.37813344333</v>
      </c>
      <c r="AG11" s="96">
        <f>AVERAGE('Исходные данные_котельные'!$D$5:$F$5)</f>
        <v>164.59</v>
      </c>
      <c r="AH11" s="98">
        <f>AVERAGE('Исходные данные_котельные'!$D$18:$F$18)</f>
        <v>163.87146266666664</v>
      </c>
      <c r="AI11" s="98">
        <f t="shared" si="12"/>
        <v>26971.604040306665</v>
      </c>
      <c r="AJ11" s="98">
        <f>'Природный газ'!$B$4</f>
        <v>1.59</v>
      </c>
      <c r="AK11" s="141">
        <f t="shared" si="13"/>
        <v>42884.850424087599</v>
      </c>
    </row>
    <row r="12" spans="1:37" s="86" customFormat="1" ht="26.25" customHeight="1" x14ac:dyDescent="0.25">
      <c r="A12" s="435"/>
      <c r="B12" s="94">
        <v>2028</v>
      </c>
      <c r="C12" s="95">
        <f>AVERAGE('Исходные данные_котельные'!$D$7:$F$7)</f>
        <v>167.56666666666669</v>
      </c>
      <c r="D12" s="98">
        <f>AVERAGE('Исходные данные_котельные'!$D$13:$F$13)</f>
        <v>63.719333333333331</v>
      </c>
      <c r="E12" s="95">
        <f t="shared" si="14"/>
        <v>10677.236288888889</v>
      </c>
      <c r="F12" s="95">
        <f>'Природный газ'!$B$4</f>
        <v>1.59</v>
      </c>
      <c r="G12" s="139">
        <f t="shared" si="15"/>
        <v>16976.805699333334</v>
      </c>
      <c r="H12" s="96">
        <f>AVERAGE('Исходные данные_котельные'!$D$5:$F$5)</f>
        <v>164.59</v>
      </c>
      <c r="I12" s="98">
        <f>AVERAGE('Исходные данные_котельные'!$D$12:$F$12)</f>
        <v>43.592333333333329</v>
      </c>
      <c r="J12" s="98">
        <f t="shared" si="16"/>
        <v>7174.8621433333328</v>
      </c>
      <c r="K12" s="98">
        <f>'Природный газ'!$B$4</f>
        <v>1.59</v>
      </c>
      <c r="L12" s="141">
        <f t="shared" si="17"/>
        <v>11408.030807900001</v>
      </c>
      <c r="M12" s="129">
        <f>AVERAGE('Исходные данные_котельные'!$D$6:$F$6)</f>
        <v>155.29999999999998</v>
      </c>
      <c r="N12" s="98">
        <f>AVERAGE('Исходные данные_котельные'!$D$14:$F$14)</f>
        <v>75.624159333333324</v>
      </c>
      <c r="O12" s="98">
        <f t="shared" si="4"/>
        <v>11744.431944466663</v>
      </c>
      <c r="P12" s="98">
        <f>'Природный газ'!$B$4</f>
        <v>1.59</v>
      </c>
      <c r="Q12" s="141">
        <f t="shared" si="5"/>
        <v>18673.646791701995</v>
      </c>
      <c r="R12" s="129">
        <f>AVERAGE('Исходные данные_котельные'!$D$8:$F$8)</f>
        <v>155.79999999999998</v>
      </c>
      <c r="S12" s="98">
        <f>AVERAGE('Исходные данные_котельные'!$D$15:$F$15)</f>
        <v>2.179767</v>
      </c>
      <c r="T12" s="98">
        <f t="shared" si="6"/>
        <v>339.60769859999999</v>
      </c>
      <c r="U12" s="98">
        <f>'Природный газ'!$B$4</f>
        <v>1.59</v>
      </c>
      <c r="V12" s="141">
        <f t="shared" si="7"/>
        <v>539.97624077399996</v>
      </c>
      <c r="W12" s="129">
        <f>AVERAGE('Исходные данные_котельные'!$D$9:$F$9)</f>
        <v>158.26666666666668</v>
      </c>
      <c r="X12" s="98">
        <f>AVERAGE('Исходные данные_котельные'!$D$16:$F$16)</f>
        <v>22.765420333333335</v>
      </c>
      <c r="Y12" s="98">
        <f t="shared" si="8"/>
        <v>3603.0071914222226</v>
      </c>
      <c r="Z12" s="98">
        <f>'Природный газ'!$B$4</f>
        <v>1.59</v>
      </c>
      <c r="AA12" s="141">
        <f t="shared" si="9"/>
        <v>5728.7814343613345</v>
      </c>
      <c r="AB12" s="129">
        <f>AVERAGE('Исходные данные_котельные'!$D$10:$F$10)</f>
        <v>153.83333333333334</v>
      </c>
      <c r="AC12" s="98">
        <f>AVERAGE('Исходные данные_котельные'!$D$17:$F$17)</f>
        <v>257.91360466666663</v>
      </c>
      <c r="AD12" s="98">
        <f t="shared" si="10"/>
        <v>39675.709517888885</v>
      </c>
      <c r="AE12" s="98">
        <f>'Природный газ'!$B$4</f>
        <v>1.59</v>
      </c>
      <c r="AF12" s="141">
        <f t="shared" si="11"/>
        <v>63084.37813344333</v>
      </c>
      <c r="AG12" s="96">
        <f>AVERAGE('Исходные данные_котельные'!$D$5:$F$5)</f>
        <v>164.59</v>
      </c>
      <c r="AH12" s="98">
        <f>AVERAGE('Исходные данные_котельные'!$D$18:$F$18)</f>
        <v>163.87146266666664</v>
      </c>
      <c r="AI12" s="98">
        <f t="shared" si="12"/>
        <v>26971.604040306665</v>
      </c>
      <c r="AJ12" s="98">
        <f>'Природный газ'!$B$4</f>
        <v>1.59</v>
      </c>
      <c r="AK12" s="141">
        <f t="shared" si="13"/>
        <v>42884.850424087599</v>
      </c>
    </row>
    <row r="13" spans="1:37" s="86" customFormat="1" ht="26.25" customHeight="1" x14ac:dyDescent="0.25">
      <c r="A13" s="435"/>
      <c r="B13" s="94">
        <v>2029</v>
      </c>
      <c r="C13" s="95">
        <f>AVERAGE('Исходные данные_котельные'!$D$7:$F$7)</f>
        <v>167.56666666666669</v>
      </c>
      <c r="D13" s="98">
        <f>AVERAGE('Исходные данные_котельные'!$D$13:$F$13)</f>
        <v>63.719333333333331</v>
      </c>
      <c r="E13" s="95">
        <f t="shared" si="14"/>
        <v>10677.236288888889</v>
      </c>
      <c r="F13" s="95">
        <f>'Природный газ'!$B$4</f>
        <v>1.59</v>
      </c>
      <c r="G13" s="139">
        <f t="shared" si="15"/>
        <v>16976.805699333334</v>
      </c>
      <c r="H13" s="96">
        <f>AVERAGE('Исходные данные_котельные'!$D$5:$F$5)</f>
        <v>164.59</v>
      </c>
      <c r="I13" s="98">
        <f>AVERAGE('Исходные данные_котельные'!$D$12:$F$12)</f>
        <v>43.592333333333329</v>
      </c>
      <c r="J13" s="98">
        <f t="shared" si="16"/>
        <v>7174.8621433333328</v>
      </c>
      <c r="K13" s="98">
        <f>'Природный газ'!$B$4</f>
        <v>1.59</v>
      </c>
      <c r="L13" s="141">
        <f t="shared" si="17"/>
        <v>11408.030807900001</v>
      </c>
      <c r="M13" s="129">
        <f>AVERAGE('Исходные данные_котельные'!$D$6:$F$6)</f>
        <v>155.29999999999998</v>
      </c>
      <c r="N13" s="98">
        <f>AVERAGE('Исходные данные_котельные'!$D$14:$F$14)</f>
        <v>75.624159333333324</v>
      </c>
      <c r="O13" s="98">
        <f t="shared" si="4"/>
        <v>11744.431944466663</v>
      </c>
      <c r="P13" s="98">
        <f>'Природный газ'!$B$4</f>
        <v>1.59</v>
      </c>
      <c r="Q13" s="141">
        <f t="shared" si="5"/>
        <v>18673.646791701995</v>
      </c>
      <c r="R13" s="129">
        <f>AVERAGE('Исходные данные_котельные'!$D$8:$F$8)</f>
        <v>155.79999999999998</v>
      </c>
      <c r="S13" s="98">
        <f>AVERAGE('Исходные данные_котельные'!$D$15:$F$15)</f>
        <v>2.179767</v>
      </c>
      <c r="T13" s="98">
        <f t="shared" si="6"/>
        <v>339.60769859999999</v>
      </c>
      <c r="U13" s="98">
        <f>'Природный газ'!$B$4</f>
        <v>1.59</v>
      </c>
      <c r="V13" s="141">
        <f t="shared" si="7"/>
        <v>539.97624077399996</v>
      </c>
      <c r="W13" s="129">
        <f>AVERAGE('Исходные данные_котельные'!$D$9:$F$9)</f>
        <v>158.26666666666668</v>
      </c>
      <c r="X13" s="98">
        <f>AVERAGE('Исходные данные_котельные'!$D$16:$F$16)</f>
        <v>22.765420333333335</v>
      </c>
      <c r="Y13" s="98">
        <f t="shared" si="8"/>
        <v>3603.0071914222226</v>
      </c>
      <c r="Z13" s="98">
        <f>'Природный газ'!$B$4</f>
        <v>1.59</v>
      </c>
      <c r="AA13" s="141">
        <f t="shared" si="9"/>
        <v>5728.7814343613345</v>
      </c>
      <c r="AB13" s="129">
        <f>AVERAGE('Исходные данные_котельные'!$D$10:$F$10)</f>
        <v>153.83333333333334</v>
      </c>
      <c r="AC13" s="98">
        <f>AVERAGE('Исходные данные_котельные'!$D$17:$F$17)</f>
        <v>257.91360466666663</v>
      </c>
      <c r="AD13" s="98">
        <f t="shared" si="10"/>
        <v>39675.709517888885</v>
      </c>
      <c r="AE13" s="98">
        <f>'Природный газ'!$B$4</f>
        <v>1.59</v>
      </c>
      <c r="AF13" s="141">
        <f t="shared" si="11"/>
        <v>63084.37813344333</v>
      </c>
      <c r="AG13" s="96">
        <f>AVERAGE('Исходные данные_котельные'!$D$5:$F$5)</f>
        <v>164.59</v>
      </c>
      <c r="AH13" s="98">
        <f>AVERAGE('Исходные данные_котельные'!$D$18:$F$18)</f>
        <v>163.87146266666664</v>
      </c>
      <c r="AI13" s="98">
        <f t="shared" si="12"/>
        <v>26971.604040306665</v>
      </c>
      <c r="AJ13" s="98">
        <f>'Природный газ'!$B$4</f>
        <v>1.59</v>
      </c>
      <c r="AK13" s="141">
        <f t="shared" si="13"/>
        <v>42884.850424087599</v>
      </c>
    </row>
    <row r="14" spans="1:37" s="86" customFormat="1" ht="26.25" customHeight="1" x14ac:dyDescent="0.25">
      <c r="A14" s="435"/>
      <c r="B14" s="94">
        <v>2030</v>
      </c>
      <c r="C14" s="95">
        <f>AVERAGE('Исходные данные_котельные'!$D$7:$F$7)</f>
        <v>167.56666666666669</v>
      </c>
      <c r="D14" s="98">
        <f>AVERAGE('Исходные данные_котельные'!$D$13:$F$13)</f>
        <v>63.719333333333331</v>
      </c>
      <c r="E14" s="95">
        <f t="shared" si="14"/>
        <v>10677.236288888889</v>
      </c>
      <c r="F14" s="95">
        <f>'Природный газ'!$B$4</f>
        <v>1.59</v>
      </c>
      <c r="G14" s="139">
        <f t="shared" si="15"/>
        <v>16976.805699333334</v>
      </c>
      <c r="H14" s="96">
        <f>AVERAGE('Исходные данные_котельные'!$D$5:$F$5)</f>
        <v>164.59</v>
      </c>
      <c r="I14" s="98">
        <f>AVERAGE('Исходные данные_котельные'!$D$12:$F$12)</f>
        <v>43.592333333333329</v>
      </c>
      <c r="J14" s="98">
        <f t="shared" si="16"/>
        <v>7174.8621433333328</v>
      </c>
      <c r="K14" s="98">
        <f>'Природный газ'!$B$4</f>
        <v>1.59</v>
      </c>
      <c r="L14" s="141">
        <f t="shared" si="17"/>
        <v>11408.030807900001</v>
      </c>
      <c r="M14" s="129">
        <f>AVERAGE('Исходные данные_котельные'!$D$6:$F$6)</f>
        <v>155.29999999999998</v>
      </c>
      <c r="N14" s="98">
        <f>AVERAGE('Исходные данные_котельные'!$D$14:$F$14)</f>
        <v>75.624159333333324</v>
      </c>
      <c r="O14" s="98">
        <f t="shared" si="4"/>
        <v>11744.431944466663</v>
      </c>
      <c r="P14" s="98">
        <f>'Природный газ'!$B$4</f>
        <v>1.59</v>
      </c>
      <c r="Q14" s="141">
        <f t="shared" si="5"/>
        <v>18673.646791701995</v>
      </c>
      <c r="R14" s="129">
        <f>AVERAGE('Исходные данные_котельные'!$D$8:$F$8)</f>
        <v>155.79999999999998</v>
      </c>
      <c r="S14" s="98">
        <f>AVERAGE('Исходные данные_котельные'!$D$15:$F$15)</f>
        <v>2.179767</v>
      </c>
      <c r="T14" s="98">
        <f t="shared" si="6"/>
        <v>339.60769859999999</v>
      </c>
      <c r="U14" s="98">
        <f>'Природный газ'!$B$4</f>
        <v>1.59</v>
      </c>
      <c r="V14" s="141">
        <f t="shared" si="7"/>
        <v>539.97624077399996</v>
      </c>
      <c r="W14" s="129">
        <f>AVERAGE('Исходные данные_котельные'!$D$9:$F$9)</f>
        <v>158.26666666666668</v>
      </c>
      <c r="X14" s="98">
        <f>AVERAGE('Исходные данные_котельные'!$D$16:$F$16)</f>
        <v>22.765420333333335</v>
      </c>
      <c r="Y14" s="98">
        <f t="shared" si="8"/>
        <v>3603.0071914222226</v>
      </c>
      <c r="Z14" s="98">
        <f>'Природный газ'!$B$4</f>
        <v>1.59</v>
      </c>
      <c r="AA14" s="141">
        <f t="shared" si="9"/>
        <v>5728.7814343613345</v>
      </c>
      <c r="AB14" s="129">
        <f>AVERAGE('Исходные данные_котельные'!$D$10:$F$10)</f>
        <v>153.83333333333334</v>
      </c>
      <c r="AC14" s="98">
        <f>AVERAGE('Исходные данные_котельные'!$D$17:$F$17)</f>
        <v>257.91360466666663</v>
      </c>
      <c r="AD14" s="98">
        <f t="shared" si="10"/>
        <v>39675.709517888885</v>
      </c>
      <c r="AE14" s="98">
        <f>'Природный газ'!$B$4</f>
        <v>1.59</v>
      </c>
      <c r="AF14" s="141">
        <f t="shared" si="11"/>
        <v>63084.37813344333</v>
      </c>
      <c r="AG14" s="96">
        <f>AVERAGE('Исходные данные_котельные'!$D$5:$F$5)</f>
        <v>164.59</v>
      </c>
      <c r="AH14" s="98">
        <f>AVERAGE('Исходные данные_котельные'!$D$18:$F$18)</f>
        <v>163.87146266666664</v>
      </c>
      <c r="AI14" s="98">
        <f t="shared" si="12"/>
        <v>26971.604040306665</v>
      </c>
      <c r="AJ14" s="98">
        <f>'Природный газ'!$B$4</f>
        <v>1.59</v>
      </c>
      <c r="AK14" s="141">
        <f t="shared" si="13"/>
        <v>42884.850424087599</v>
      </c>
    </row>
    <row r="15" spans="1:37" s="86" customFormat="1" ht="26.25" customHeight="1" x14ac:dyDescent="0.25">
      <c r="A15" s="435"/>
      <c r="B15" s="94" t="s">
        <v>55</v>
      </c>
      <c r="C15" s="95">
        <f>AVERAGE('Исходные данные_котельные'!$D$7:$F$7)</f>
        <v>167.56666666666669</v>
      </c>
      <c r="D15" s="98">
        <f>AVERAGE('Исходные данные_котельные'!$D$13:$F$13)*(182/365)</f>
        <v>31.772379908675799</v>
      </c>
      <c r="E15" s="95">
        <f t="shared" si="14"/>
        <v>5323.9917933637753</v>
      </c>
      <c r="F15" s="95">
        <f>'Природный газ'!$B$4</f>
        <v>1.59</v>
      </c>
      <c r="G15" s="139">
        <f t="shared" si="15"/>
        <v>8465.1469514484033</v>
      </c>
      <c r="H15" s="96">
        <f>AVERAGE('Исходные данные_котельные'!$D$5:$F$5)</f>
        <v>164.59</v>
      </c>
      <c r="I15" s="98">
        <f>AVERAGE('Исходные данные_котельные'!$D$12:$F$12)*(182/365)</f>
        <v>21.736451141552511</v>
      </c>
      <c r="J15" s="98">
        <f t="shared" si="16"/>
        <v>3577.6024933881276</v>
      </c>
      <c r="K15" s="98">
        <f>'Природный газ'!$B$4</f>
        <v>1.59</v>
      </c>
      <c r="L15" s="141">
        <f t="shared" si="17"/>
        <v>5688.3879644871231</v>
      </c>
      <c r="M15" s="129">
        <f>AVERAGE('Исходные данные_котельные'!$D$6:$F$6)</f>
        <v>155.29999999999998</v>
      </c>
      <c r="N15" s="98">
        <f>AVERAGE('Исходные данные_котельные'!$D$14:$F$14)*(182/365)</f>
        <v>37.708484927853874</v>
      </c>
      <c r="O15" s="98">
        <f t="shared" si="4"/>
        <v>5856.1277092957062</v>
      </c>
      <c r="P15" s="98">
        <f>'Природный газ'!$B$4</f>
        <v>1.59</v>
      </c>
      <c r="Q15" s="141">
        <f t="shared" si="5"/>
        <v>9311.2430577801733</v>
      </c>
      <c r="R15" s="129">
        <f>AVERAGE('Исходные данные_котельные'!$D$8:$F$8)</f>
        <v>155.79999999999998</v>
      </c>
      <c r="S15" s="98">
        <f>AVERAGE('Исходные данные_котельные'!$D$15:$F$15)*(182/365)</f>
        <v>1.0868975178082192</v>
      </c>
      <c r="T15" s="98">
        <f t="shared" si="6"/>
        <v>169.33863327452053</v>
      </c>
      <c r="U15" s="98">
        <f>'Природный газ'!$B$4</f>
        <v>1.59</v>
      </c>
      <c r="V15" s="141">
        <f t="shared" si="7"/>
        <v>269.24842690648768</v>
      </c>
      <c r="W15" s="129">
        <f>AVERAGE('Исходные данные_котельные'!$D$9:$F$9)</f>
        <v>158.26666666666668</v>
      </c>
      <c r="X15" s="98">
        <f>AVERAGE('Исходные данные_котельные'!$D$16:$F$16)*(182/365)</f>
        <v>11.351524659360731</v>
      </c>
      <c r="Y15" s="98">
        <f t="shared" si="8"/>
        <v>1796.5679694214919</v>
      </c>
      <c r="Z15" s="98">
        <f>'Природный газ'!$B$4</f>
        <v>1.59</v>
      </c>
      <c r="AA15" s="141">
        <f t="shared" si="9"/>
        <v>2856.543071380172</v>
      </c>
      <c r="AB15" s="129">
        <f>AVERAGE('Исходные данные_котельные'!$D$10:$F$10)</f>
        <v>153.83333333333334</v>
      </c>
      <c r="AC15" s="98">
        <f>AVERAGE('Исходные данные_котельные'!$D$17:$F$17)*(182/365)</f>
        <v>128.60349602557076</v>
      </c>
      <c r="AD15" s="98">
        <f t="shared" si="10"/>
        <v>19783.504471933637</v>
      </c>
      <c r="AE15" s="98">
        <f>'Природный газ'!$B$4</f>
        <v>1.59</v>
      </c>
      <c r="AF15" s="141">
        <f t="shared" si="11"/>
        <v>31455.772110374484</v>
      </c>
      <c r="AG15" s="96">
        <f>AVERAGE('Исходные данные_котельные'!$D$5:$F$5)</f>
        <v>164.59</v>
      </c>
      <c r="AH15" s="98">
        <f>AVERAGE('Исходные данные_котельные'!$D$18:$F$18)*(182/365)</f>
        <v>81.711249877625562</v>
      </c>
      <c r="AI15" s="98">
        <f t="shared" si="12"/>
        <v>13448.854617358391</v>
      </c>
      <c r="AJ15" s="98">
        <f>'Природный газ'!$B$4</f>
        <v>1.59</v>
      </c>
      <c r="AK15" s="141">
        <f t="shared" si="13"/>
        <v>21383.678841599842</v>
      </c>
    </row>
    <row r="16" spans="1:37" s="86" customFormat="1" ht="18" customHeight="1" x14ac:dyDescent="0.25">
      <c r="G16" s="99"/>
      <c r="L16" s="99"/>
      <c r="Q16" s="99"/>
      <c r="V16" s="99"/>
      <c r="AA16" s="99"/>
      <c r="AF16" s="99"/>
      <c r="AK16" s="99"/>
    </row>
    <row r="17" spans="7:37" s="86" customFormat="1" ht="17.25" customHeight="1" x14ac:dyDescent="0.25">
      <c r="G17" s="99"/>
      <c r="L17" s="99"/>
      <c r="Q17" s="99"/>
      <c r="V17" s="99"/>
      <c r="AA17" s="99"/>
      <c r="AF17" s="99"/>
      <c r="AK17" s="99"/>
    </row>
  </sheetData>
  <mergeCells count="9">
    <mergeCell ref="AB2:AF2"/>
    <mergeCell ref="AG2:AK2"/>
    <mergeCell ref="H2:L2"/>
    <mergeCell ref="C2:G2"/>
    <mergeCell ref="A9:A15"/>
    <mergeCell ref="A5:A8"/>
    <mergeCell ref="M2:Q2"/>
    <mergeCell ref="R2:V2"/>
    <mergeCell ref="W2:AA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FDEC7-3394-4F29-9E4D-D7AA61E7DA60}">
  <dimension ref="A2:AH18"/>
  <sheetViews>
    <sheetView showGridLines="0" zoomScale="70" zoomScaleNormal="70" workbookViewId="0">
      <pane xSplit="2" ySplit="5" topLeftCell="J6" activePane="bottomRight" state="frozen"/>
      <selection pane="topRight" activeCell="C1" sqref="C1"/>
      <selection pane="bottomLeft" activeCell="A5" sqref="A5"/>
      <selection pane="bottomRight" activeCell="S27" sqref="S27"/>
    </sheetView>
  </sheetViews>
  <sheetFormatPr defaultColWidth="9.140625" defaultRowHeight="14.25" x14ac:dyDescent="0.2"/>
  <cols>
    <col min="1" max="1" width="7.42578125" style="49" customWidth="1"/>
    <col min="2" max="2" width="29.28515625" style="49" customWidth="1"/>
    <col min="3" max="3" width="15.85546875" style="49" customWidth="1"/>
    <col min="4" max="4" width="12.42578125" style="100" customWidth="1"/>
    <col min="5" max="5" width="9.85546875" style="101" customWidth="1"/>
    <col min="6" max="6" width="11.28515625" style="105" customWidth="1"/>
    <col min="7" max="7" width="15.85546875" style="49" customWidth="1"/>
    <col min="8" max="8" width="12.5703125" style="100" customWidth="1"/>
    <col min="9" max="9" width="9.85546875" style="101" customWidth="1"/>
    <col min="10" max="10" width="11.7109375" style="105" customWidth="1"/>
    <col min="11" max="11" width="15.85546875" style="101" customWidth="1"/>
    <col min="12" max="13" width="9.85546875" style="101" customWidth="1"/>
    <col min="14" max="14" width="11.7109375" style="105" customWidth="1"/>
    <col min="15" max="15" width="15.85546875" style="49" customWidth="1"/>
    <col min="16" max="16" width="9.85546875" style="100" customWidth="1"/>
    <col min="17" max="17" width="9.85546875" style="101" customWidth="1"/>
    <col min="18" max="18" width="11.7109375" style="105" customWidth="1"/>
    <col min="19" max="19" width="15.85546875" style="101" customWidth="1"/>
    <col min="20" max="21" width="9.85546875" style="101" customWidth="1"/>
    <col min="22" max="22" width="11.7109375" style="105" customWidth="1"/>
    <col min="23" max="23" width="15.85546875" style="101" customWidth="1"/>
    <col min="24" max="25" width="9.85546875" style="101" customWidth="1"/>
    <col min="26" max="26" width="11.7109375" style="105" customWidth="1"/>
    <col min="27" max="27" width="15.85546875" style="101" customWidth="1"/>
    <col min="28" max="29" width="9.85546875" style="101" customWidth="1"/>
    <col min="30" max="30" width="11.7109375" style="105" customWidth="1"/>
    <col min="31" max="31" width="15.85546875" style="49" customWidth="1"/>
    <col min="32" max="32" width="9.85546875" style="100" customWidth="1"/>
    <col min="33" max="33" width="9.85546875" style="101" customWidth="1"/>
    <col min="34" max="34" width="11.7109375" style="105" customWidth="1"/>
    <col min="35" max="16384" width="9.140625" style="49"/>
  </cols>
  <sheetData>
    <row r="2" spans="1:34" ht="18" x14ac:dyDescent="0.2">
      <c r="B2" s="83" t="s">
        <v>52</v>
      </c>
      <c r="C2" s="83"/>
      <c r="D2" s="84"/>
      <c r="E2" s="83"/>
      <c r="F2" s="104"/>
      <c r="G2" s="83"/>
      <c r="H2" s="84"/>
      <c r="I2" s="83"/>
      <c r="J2" s="104"/>
      <c r="K2" s="83"/>
      <c r="L2" s="83"/>
      <c r="M2" s="83"/>
      <c r="N2" s="104"/>
      <c r="O2" s="83"/>
      <c r="P2" s="84"/>
      <c r="Q2" s="83"/>
      <c r="R2" s="104"/>
      <c r="S2" s="83"/>
      <c r="T2" s="83"/>
      <c r="U2" s="83"/>
      <c r="V2" s="104"/>
      <c r="W2" s="83"/>
      <c r="X2" s="83"/>
      <c r="Y2" s="83"/>
      <c r="Z2" s="104"/>
      <c r="AA2" s="83"/>
      <c r="AB2" s="83"/>
      <c r="AC2" s="83"/>
      <c r="AD2" s="104"/>
      <c r="AE2" s="83"/>
      <c r="AF2" s="84"/>
      <c r="AG2" s="83"/>
      <c r="AH2" s="104"/>
    </row>
    <row r="3" spans="1:34" ht="36.75" customHeight="1" x14ac:dyDescent="0.2">
      <c r="A3" s="86"/>
      <c r="B3" s="87"/>
      <c r="C3" s="434" t="s">
        <v>99</v>
      </c>
      <c r="D3" s="434"/>
      <c r="E3" s="434"/>
      <c r="F3" s="434"/>
      <c r="G3" s="434" t="s">
        <v>98</v>
      </c>
      <c r="H3" s="434"/>
      <c r="I3" s="434"/>
      <c r="J3" s="434"/>
      <c r="K3" s="434" t="s">
        <v>102</v>
      </c>
      <c r="L3" s="434"/>
      <c r="M3" s="434"/>
      <c r="N3" s="434"/>
      <c r="O3" s="434" t="s">
        <v>131</v>
      </c>
      <c r="P3" s="434"/>
      <c r="Q3" s="434"/>
      <c r="R3" s="434"/>
      <c r="S3" s="434" t="s">
        <v>101</v>
      </c>
      <c r="T3" s="434"/>
      <c r="U3" s="434"/>
      <c r="V3" s="434"/>
      <c r="W3" s="434" t="s">
        <v>103</v>
      </c>
      <c r="X3" s="434"/>
      <c r="Y3" s="434"/>
      <c r="Z3" s="434"/>
      <c r="AA3" s="434" t="s">
        <v>104</v>
      </c>
      <c r="AB3" s="434"/>
      <c r="AC3" s="434"/>
      <c r="AD3" s="434"/>
    </row>
    <row r="4" spans="1:34" ht="75" customHeight="1" x14ac:dyDescent="0.2">
      <c r="A4" s="88"/>
      <c r="B4" s="87"/>
      <c r="C4" s="87" t="s">
        <v>83</v>
      </c>
      <c r="D4" s="87" t="s">
        <v>53</v>
      </c>
      <c r="E4" s="87" t="s">
        <v>28</v>
      </c>
      <c r="F4" s="87" t="s">
        <v>29</v>
      </c>
      <c r="G4" s="87" t="s">
        <v>84</v>
      </c>
      <c r="H4" s="87" t="s">
        <v>53</v>
      </c>
      <c r="I4" s="87" t="s">
        <v>28</v>
      </c>
      <c r="J4" s="87" t="s">
        <v>29</v>
      </c>
      <c r="K4" s="87" t="s">
        <v>120</v>
      </c>
      <c r="L4" s="87" t="s">
        <v>53</v>
      </c>
      <c r="M4" s="87" t="s">
        <v>28</v>
      </c>
      <c r="N4" s="87" t="s">
        <v>29</v>
      </c>
      <c r="O4" s="90" t="s">
        <v>121</v>
      </c>
      <c r="P4" s="87" t="s">
        <v>53</v>
      </c>
      <c r="Q4" s="87" t="s">
        <v>28</v>
      </c>
      <c r="R4" s="87" t="s">
        <v>29</v>
      </c>
      <c r="S4" s="87" t="s">
        <v>124</v>
      </c>
      <c r="T4" s="87" t="s">
        <v>53</v>
      </c>
      <c r="U4" s="87" t="s">
        <v>28</v>
      </c>
      <c r="V4" s="87" t="s">
        <v>29</v>
      </c>
      <c r="W4" s="87" t="s">
        <v>122</v>
      </c>
      <c r="X4" s="87" t="s">
        <v>53</v>
      </c>
      <c r="Y4" s="87" t="s">
        <v>28</v>
      </c>
      <c r="Z4" s="87" t="s">
        <v>29</v>
      </c>
      <c r="AA4" s="87" t="s">
        <v>84</v>
      </c>
      <c r="AB4" s="87" t="s">
        <v>53</v>
      </c>
      <c r="AC4" s="87" t="s">
        <v>28</v>
      </c>
      <c r="AD4" s="87" t="s">
        <v>29</v>
      </c>
    </row>
    <row r="5" spans="1:34" ht="18" customHeight="1" x14ac:dyDescent="0.2">
      <c r="A5" s="88"/>
      <c r="B5" s="91">
        <v>1</v>
      </c>
      <c r="C5" s="91">
        <v>2</v>
      </c>
      <c r="D5" s="91">
        <v>3</v>
      </c>
      <c r="E5" s="91">
        <v>4</v>
      </c>
      <c r="F5" s="91">
        <v>5</v>
      </c>
      <c r="G5" s="91">
        <v>6</v>
      </c>
      <c r="H5" s="91">
        <v>7</v>
      </c>
      <c r="I5" s="91">
        <v>8</v>
      </c>
      <c r="J5" s="91">
        <v>9</v>
      </c>
      <c r="K5" s="91">
        <v>10</v>
      </c>
      <c r="L5" s="91">
        <v>11</v>
      </c>
      <c r="M5" s="91">
        <v>12</v>
      </c>
      <c r="N5" s="91">
        <v>13</v>
      </c>
      <c r="O5" s="91">
        <v>14</v>
      </c>
      <c r="P5" s="91">
        <v>15</v>
      </c>
      <c r="Q5" s="91">
        <v>16</v>
      </c>
      <c r="R5" s="91">
        <v>17</v>
      </c>
      <c r="S5" s="91">
        <v>18</v>
      </c>
      <c r="T5" s="91">
        <v>19</v>
      </c>
      <c r="U5" s="91">
        <v>20</v>
      </c>
      <c r="V5" s="91">
        <v>21</v>
      </c>
      <c r="W5" s="91">
        <v>22</v>
      </c>
      <c r="X5" s="91">
        <v>23</v>
      </c>
      <c r="Y5" s="91">
        <v>24</v>
      </c>
      <c r="Z5" s="91">
        <v>25</v>
      </c>
      <c r="AA5" s="91">
        <v>26</v>
      </c>
      <c r="AB5" s="91">
        <v>27</v>
      </c>
      <c r="AC5" s="91">
        <v>28</v>
      </c>
      <c r="AD5" s="91">
        <v>29</v>
      </c>
    </row>
    <row r="6" spans="1:34" ht="26.25" customHeight="1" x14ac:dyDescent="0.2">
      <c r="A6" s="436" t="s">
        <v>31</v>
      </c>
      <c r="B6" s="116" t="s">
        <v>54</v>
      </c>
      <c r="C6" s="137">
        <f>SUM('Исходные данные_отпуск тепла'!L7:Q7)</f>
        <v>29.381214999999997</v>
      </c>
      <c r="D6" s="95">
        <f>'Исходные данные_топл. эффект'!D12</f>
        <v>1.993319053410687</v>
      </c>
      <c r="E6" s="95">
        <f>'Природный газ'!$B$4</f>
        <v>1.59</v>
      </c>
      <c r="F6" s="139">
        <f>D6*E6*1000</f>
        <v>3169.3772949229924</v>
      </c>
      <c r="G6" s="137">
        <f>SUM('Исходные данные_отпуск тепла'!$L$6:$Q$6)</f>
        <v>16.850891000000001</v>
      </c>
      <c r="H6" s="95">
        <f>'Исходные данные_топл. эффект'!$D$23</f>
        <v>0.69864689596488461</v>
      </c>
      <c r="I6" s="95">
        <f>'Природный газ'!$B$4</f>
        <v>1.59</v>
      </c>
      <c r="J6" s="139">
        <f>H6*I6*1000</f>
        <v>1110.8485645841665</v>
      </c>
      <c r="K6" s="137">
        <f>SUM('Исходные данные_отпуск тепла'!F10:Q10)</f>
        <v>28.848801999999999</v>
      </c>
      <c r="L6" s="95">
        <f>'Исходные данные_топл. эффект'!$D$34</f>
        <v>0.57985090592319466</v>
      </c>
      <c r="M6" s="95">
        <f>'Природный газ'!$B$4</f>
        <v>1.59</v>
      </c>
      <c r="N6" s="139">
        <f>L6*M6*1000</f>
        <v>921.96294041787951</v>
      </c>
      <c r="O6" s="137">
        <f>SUM('Исходные данные_отпуск тепла'!F8:Q8)</f>
        <v>30.721299999999999</v>
      </c>
      <c r="P6" s="95">
        <f>'Исходные данные_топл. эффект'!D45</f>
        <v>0.8085191746986311</v>
      </c>
      <c r="Q6" s="95">
        <f>'Природный газ'!$B$4</f>
        <v>1.59</v>
      </c>
      <c r="R6" s="139">
        <f>P6*Q6*1000</f>
        <v>1285.5454877708235</v>
      </c>
      <c r="S6" s="137">
        <f>SUM('Исходные данные_отпуск тепла'!$F$9:$Q$9)</f>
        <v>0</v>
      </c>
      <c r="T6" s="95">
        <f>'Исходные данные_топл. эффект'!$D$57</f>
        <v>0</v>
      </c>
      <c r="U6" s="95">
        <f>'Природный газ'!$B$4</f>
        <v>1.59</v>
      </c>
      <c r="V6" s="139">
        <f>T6*U6*1000</f>
        <v>0</v>
      </c>
      <c r="W6" s="137">
        <f>SUM('Исходные данные_отпуск тепла'!$F$11:$Q$11)</f>
        <v>0</v>
      </c>
      <c r="X6" s="95">
        <f>'Исходные данные_топл. эффект'!$D$69</f>
        <v>0</v>
      </c>
      <c r="Y6" s="95">
        <f>'Природный газ'!$B$4</f>
        <v>1.59</v>
      </c>
      <c r="Z6" s="139">
        <f>X6*Y6*1000</f>
        <v>0</v>
      </c>
      <c r="AA6" s="137">
        <f>SUM('Исходные данные_отпуск тепла'!$F$12:$Q$12)</f>
        <v>0</v>
      </c>
      <c r="AB6" s="95">
        <f>'Исходные данные_топл. эффект'!$D$81</f>
        <v>0</v>
      </c>
      <c r="AC6" s="95">
        <f>'Природный газ'!$B$4</f>
        <v>1.59</v>
      </c>
      <c r="AD6" s="139">
        <f>AB6*AC6*1000</f>
        <v>0</v>
      </c>
    </row>
    <row r="7" spans="1:34" ht="26.25" customHeight="1" x14ac:dyDescent="0.2">
      <c r="A7" s="436"/>
      <c r="B7" s="94">
        <v>2022</v>
      </c>
      <c r="C7" s="137">
        <f>SUM('Исходные данные_отпуск тепла'!$R7:$AC7)</f>
        <v>60.790778000000003</v>
      </c>
      <c r="D7" s="95">
        <f>'Исходные данные_топл. эффект'!E12</f>
        <v>3.2267764337389053</v>
      </c>
      <c r="E7" s="95">
        <f>'Природный газ'!$B$4</f>
        <v>1.59</v>
      </c>
      <c r="F7" s="139">
        <f>D7*E7*1000</f>
        <v>5130.5745296448595</v>
      </c>
      <c r="G7" s="137">
        <f>SUM('Исходные данные_отпуск тепла'!$R$6:$AC$6)</f>
        <v>38.774937000000001</v>
      </c>
      <c r="H7" s="95">
        <f>'Исходные данные_топл. эффект'!$E$23</f>
        <v>1.1437239894962659</v>
      </c>
      <c r="I7" s="95">
        <f>'Природный газ'!$B$4</f>
        <v>1.59</v>
      </c>
      <c r="J7" s="139">
        <f>H7*I7*1000</f>
        <v>1818.5211432990629</v>
      </c>
      <c r="K7" s="137">
        <f>SUM('Исходные данные_отпуск тепла'!$R$10:$AC$10)</f>
        <v>46.600445999999998</v>
      </c>
      <c r="L7" s="95">
        <f>'Исходные данные_топл. эффект'!$E$34</f>
        <v>1.37454892606047</v>
      </c>
      <c r="M7" s="95">
        <f>'Природный газ'!$B$4</f>
        <v>1.59</v>
      </c>
      <c r="N7" s="139">
        <f>L7*M7*1000</f>
        <v>2185.5327924361472</v>
      </c>
      <c r="O7" s="137">
        <f>SUM('Исходные данные_отпуск тепла'!R8:AC8)</f>
        <v>62.207599999999999</v>
      </c>
      <c r="P7" s="95">
        <f>'Исходные данные_топл. эффект'!E45</f>
        <v>1.6310925611173843</v>
      </c>
      <c r="Q7" s="95">
        <f>'Природный газ'!$B$4</f>
        <v>1.59</v>
      </c>
      <c r="R7" s="139">
        <f>P7*Q7*1000</f>
        <v>2593.4371721766411</v>
      </c>
      <c r="S7" s="137">
        <f>SUM('Исходные данные_отпуск тепла'!$R$9:$AC$9)</f>
        <v>1.5860690000000002</v>
      </c>
      <c r="T7" s="95">
        <f>'Исходные данные_топл. эффект'!$E$57</f>
        <v>5.9457311377173028E-2</v>
      </c>
      <c r="U7" s="95">
        <f>'Природный газ'!$B$4</f>
        <v>1.59</v>
      </c>
      <c r="V7" s="139">
        <f>T7*U7*1000</f>
        <v>94.537125089705114</v>
      </c>
      <c r="W7" s="137">
        <f>SUM('Исходные данные_отпуск тепла'!$R$11:$AC$11)</f>
        <v>0</v>
      </c>
      <c r="X7" s="95">
        <f>'Исходные данные_топл. эффект'!$E$69</f>
        <v>0</v>
      </c>
      <c r="Y7" s="95">
        <f>'Природный газ'!$B$4</f>
        <v>1.59</v>
      </c>
      <c r="Z7" s="139">
        <f>X7*Y7*1000</f>
        <v>0</v>
      </c>
      <c r="AA7" s="137">
        <f>SUM('Исходные данные_отпуск тепла'!$R$12:$AC$12)</f>
        <v>0</v>
      </c>
      <c r="AB7" s="95">
        <f>'Исходные данные_топл. эффект'!$E$81</f>
        <v>0</v>
      </c>
      <c r="AC7" s="95">
        <f>'Природный газ'!$B$4</f>
        <v>1.59</v>
      </c>
      <c r="AD7" s="139">
        <f>AB7*AC7*1000</f>
        <v>0</v>
      </c>
    </row>
    <row r="8" spans="1:34" s="121" customFormat="1" ht="25.5" customHeight="1" x14ac:dyDescent="0.2">
      <c r="A8" s="436"/>
      <c r="B8" s="94">
        <v>2023</v>
      </c>
      <c r="C8" s="137">
        <f>SUM('Исходные данные_отпуск тепла'!$AD7:$AO7)</f>
        <v>58.539195999999997</v>
      </c>
      <c r="D8" s="95">
        <f>'Исходные данные_топл. эффект'!F12</f>
        <v>3.1951283694629637</v>
      </c>
      <c r="E8" s="95">
        <f>'Природный газ'!$B$4</f>
        <v>1.59</v>
      </c>
      <c r="F8" s="139">
        <f>E8*D8*1000</f>
        <v>5080.2541074461124</v>
      </c>
      <c r="G8" s="137">
        <f>SUM('Исходные данные_отпуск тепла'!$AD$6:$AO$6)</f>
        <v>37.842919000000002</v>
      </c>
      <c r="H8" s="95">
        <f>'Исходные данные_топл. эффект'!$F$23</f>
        <v>0.77114699659296093</v>
      </c>
      <c r="I8" s="95">
        <f>'Природный газ'!$B$4</f>
        <v>1.59</v>
      </c>
      <c r="J8" s="139">
        <f>I8*H8*1000</f>
        <v>1226.1237245828081</v>
      </c>
      <c r="K8" s="137">
        <f>SUM('Исходные данные_отпуск тепла'!$AD$10:$AO$10)</f>
        <v>64.590667999999994</v>
      </c>
      <c r="L8" s="95">
        <f>'Исходные данные_топл. эффект'!$F$34</f>
        <v>1.3162013119585936</v>
      </c>
      <c r="M8" s="95">
        <f>'Природный газ'!$B$4</f>
        <v>1.59</v>
      </c>
      <c r="N8" s="139">
        <f>M8*L8*1000</f>
        <v>2092.7600860141638</v>
      </c>
      <c r="O8" s="137">
        <f>SUM('Исходные данные_отпуск тепла'!AD8:AO8)</f>
        <v>87.920999999999992</v>
      </c>
      <c r="P8" s="95">
        <f>'Исходные данные_топл. эффект'!F45</f>
        <v>2.071922407042166</v>
      </c>
      <c r="Q8" s="95">
        <f>'Природный газ'!$B$4</f>
        <v>1.59</v>
      </c>
      <c r="R8" s="139">
        <f>Q8*P8*1000</f>
        <v>3294.356627197044</v>
      </c>
      <c r="S8" s="137">
        <f>SUM('Исходные данные_отпуск тепла'!$AD$9:$AO$9)</f>
        <v>4.9927029999999997</v>
      </c>
      <c r="T8" s="95">
        <f>'Исходные данные_топл. эффект'!$F$57</f>
        <v>0.25544951875872357</v>
      </c>
      <c r="U8" s="95">
        <f>'Природный газ'!$B$4</f>
        <v>1.59</v>
      </c>
      <c r="V8" s="139">
        <f>U8*T8*1000</f>
        <v>406.16473482637048</v>
      </c>
      <c r="W8" s="137">
        <f>SUM('Исходные данные_отпуск тепла'!$AD$11:$AO$11)</f>
        <v>0</v>
      </c>
      <c r="X8" s="95">
        <f>'Исходные данные_топл. эффект'!$F$69</f>
        <v>0</v>
      </c>
      <c r="Y8" s="95">
        <f>'Природный газ'!$B$4</f>
        <v>1.59</v>
      </c>
      <c r="Z8" s="139">
        <f>Y8*X8*1000</f>
        <v>0</v>
      </c>
      <c r="AA8" s="137">
        <f>SUM('Исходные данные_отпуск тепла'!$AD$12:$AO$12)</f>
        <v>58.968200000000003</v>
      </c>
      <c r="AB8" s="95">
        <f>'Исходные данные_топл. эффект'!$F$81</f>
        <v>3.0170827930433006</v>
      </c>
      <c r="AC8" s="95">
        <f>'Природный газ'!$B$4</f>
        <v>1.59</v>
      </c>
      <c r="AD8" s="139">
        <f>AC8*AB8*1000</f>
        <v>4797.1616409388489</v>
      </c>
    </row>
    <row r="9" spans="1:34" s="122" customFormat="1" ht="26.25" customHeight="1" thickBot="1" x14ac:dyDescent="0.25">
      <c r="A9" s="438"/>
      <c r="B9" s="119">
        <v>2024</v>
      </c>
      <c r="C9" s="138">
        <f>SUM('Исходные данные_отпуск тепла'!$AP7:$BA7)</f>
        <v>70.513253000000006</v>
      </c>
      <c r="D9" s="123">
        <f>'Исходные данные_топл. эффект'!G12</f>
        <v>2.7827061615339517</v>
      </c>
      <c r="E9" s="120">
        <f>'Природный газ'!$B$4</f>
        <v>1.59</v>
      </c>
      <c r="F9" s="142">
        <f>E9*D9*1000</f>
        <v>4424.5027968389841</v>
      </c>
      <c r="G9" s="138">
        <f>SUM('Исходные данные_отпуск тепла'!$AP$6:$BA$6)</f>
        <v>36.591854999999995</v>
      </c>
      <c r="H9" s="123">
        <f>'Исходные данные_топл. эффект'!$G$23</f>
        <v>0.40321873963648613</v>
      </c>
      <c r="I9" s="120">
        <f>'Природный газ'!$B$4</f>
        <v>1.59</v>
      </c>
      <c r="J9" s="142">
        <f>I9*H9*1000</f>
        <v>641.11779602201307</v>
      </c>
      <c r="K9" s="138">
        <f>SUM('Исходные данные_отпуск тепла'!$AP$10:$BA$10)</f>
        <v>84.160978</v>
      </c>
      <c r="L9" s="123">
        <f>'Исходные данные_топл. эффект'!$G$34</f>
        <v>0.92739992207862088</v>
      </c>
      <c r="M9" s="120">
        <f>'Природный газ'!$B$4</f>
        <v>1.59</v>
      </c>
      <c r="N9" s="142">
        <f>M9*L9*1000</f>
        <v>1474.5658761050074</v>
      </c>
      <c r="O9" s="138">
        <f>SUM('Исходные данные_отпуск тепла'!AP8:BA8)</f>
        <v>59.739899999999999</v>
      </c>
      <c r="P9" s="123">
        <f>'Исходные данные_топл. эффект'!G45</f>
        <v>2.086817403434452</v>
      </c>
      <c r="Q9" s="120">
        <f>'Природный газ'!$B$4</f>
        <v>1.59</v>
      </c>
      <c r="R9" s="142">
        <f>Q9*P9*1000</f>
        <v>3318.0396714607787</v>
      </c>
      <c r="S9" s="138">
        <f>SUM('Исходные данные_отпуск тепла'!$AP$9:$BA$9)</f>
        <v>4.5959430000000001</v>
      </c>
      <c r="T9" s="123">
        <f>'Исходные данные_топл. эффект'!$G$57</f>
        <v>0.19190227771559876</v>
      </c>
      <c r="U9" s="120">
        <f>'Природный газ'!$B$4</f>
        <v>1.59</v>
      </c>
      <c r="V9" s="142">
        <f>U9*T9*1000</f>
        <v>305.12462156780202</v>
      </c>
      <c r="W9" s="138">
        <f>SUM('Исходные данные_отпуск тепла'!$AP$11:$BA$11)</f>
        <v>75.263500000000008</v>
      </c>
      <c r="X9" s="123">
        <f>'Исходные данные_топл. эффект'!$G$69</f>
        <v>3.142605789247682</v>
      </c>
      <c r="Y9" s="120">
        <f>'Природный газ'!$B$4</f>
        <v>1.59</v>
      </c>
      <c r="Z9" s="142">
        <f>Y9*X9*1000</f>
        <v>4996.7432049038143</v>
      </c>
      <c r="AA9" s="138">
        <f>SUM('Исходные данные_отпуск тепла'!$AP$12:$BA$12)</f>
        <v>134.75600000000003</v>
      </c>
      <c r="AB9" s="123">
        <f>'Исходные данные_топл. эффект'!$G$81</f>
        <v>5.6266980108007374</v>
      </c>
      <c r="AC9" s="120">
        <f>'Природный газ'!$B$4</f>
        <v>1.59</v>
      </c>
      <c r="AD9" s="142">
        <f>AC9*AB9*1000</f>
        <v>8946.4498371731734</v>
      </c>
    </row>
    <row r="10" spans="1:34" ht="26.25" customHeight="1" x14ac:dyDescent="0.2">
      <c r="A10" s="437" t="s">
        <v>30</v>
      </c>
      <c r="B10" s="97">
        <v>2025</v>
      </c>
      <c r="C10" s="363">
        <f>AVERAGE('Исходные данные_котельные'!$D$13:$F$13)</f>
        <v>63.719333333333331</v>
      </c>
      <c r="D10" s="98">
        <f>SUM($D$7:$D$9)/SUM($C$7:$C$9)*C10</f>
        <v>3.0894527212480254</v>
      </c>
      <c r="E10" s="98">
        <f>'Природный газ'!$B$4</f>
        <v>1.59</v>
      </c>
      <c r="F10" s="141">
        <f>E10*D10*1000</f>
        <v>4912.2298267843607</v>
      </c>
      <c r="G10" s="363">
        <f>AVERAGE('Исходные данные_котельные'!$D$12:$F$12)</f>
        <v>43.592333333333329</v>
      </c>
      <c r="H10" s="98">
        <f>SUM($H$7:$H$9)/SUM($G$7:$G$9)*G10</f>
        <v>0.89259957584743344</v>
      </c>
      <c r="I10" s="98">
        <f>'Природный газ'!$B$4</f>
        <v>1.59</v>
      </c>
      <c r="J10" s="141">
        <f>I10*H10*1000</f>
        <v>1419.2333255974193</v>
      </c>
      <c r="K10" s="98">
        <f>AVERAGE('Исходные данные_котельные'!$D$16:$F$16)</f>
        <v>22.765420333333335</v>
      </c>
      <c r="L10" s="98">
        <f>SUM($L$7:$L$9)/SUM($K$7:$K$9)*K10</f>
        <v>0.42164231967242555</v>
      </c>
      <c r="M10" s="98">
        <f>'Природный газ'!$B$4</f>
        <v>1.59</v>
      </c>
      <c r="N10" s="141">
        <f>M10*L10*1000</f>
        <v>670.41128827915668</v>
      </c>
      <c r="O10" s="98">
        <f>AVERAGE('Исходные данные_котельные'!$D$14:$F$14)</f>
        <v>75.624159333333324</v>
      </c>
      <c r="P10" s="98">
        <f>SUM($P$7:$P$9)/SUM($O$7:$O$9)*O10</f>
        <v>2.0863121706340682</v>
      </c>
      <c r="Q10" s="98">
        <f>'Природный газ'!$B$4</f>
        <v>1.59</v>
      </c>
      <c r="R10" s="141">
        <f>Q10*P10*1000</f>
        <v>3317.2363513081687</v>
      </c>
      <c r="S10" s="98">
        <f>AVERAGE('Исходные данные_котельные'!$D$15:$F$15)</f>
        <v>2.179767</v>
      </c>
      <c r="T10" s="98">
        <f>SUM($T$7:$T$9)/SUM($S$7:$S$9)*S10</f>
        <v>9.8859413290999426E-2</v>
      </c>
      <c r="U10" s="98">
        <f>'Природный газ'!$B$4</f>
        <v>1.59</v>
      </c>
      <c r="V10" s="141">
        <f>U10*T10*1000</f>
        <v>157.1864671326891</v>
      </c>
      <c r="W10" s="98">
        <f>AVERAGE('Исходные данные_котельные'!$D$17:$F$17)</f>
        <v>257.91360466666663</v>
      </c>
      <c r="X10" s="98">
        <f>SUM($X$7:$X$9)/SUM($W$7:$W$9)*W10</f>
        <v>10.769108361306667</v>
      </c>
      <c r="Y10" s="98">
        <f>'Природный газ'!$B$4</f>
        <v>1.59</v>
      </c>
      <c r="Z10" s="141">
        <f>Y10*X10*1000</f>
        <v>17122.8822944776</v>
      </c>
      <c r="AA10" s="98">
        <f>AVERAGE('Исходные данные_котельные'!$D$18:$F$18)</f>
        <v>163.87146266666664</v>
      </c>
      <c r="AB10" s="98">
        <f>SUM($AB$7:$AB$9)/SUM($AA$7:$AA$9)*AA10</f>
        <v>7.3117814051934547</v>
      </c>
      <c r="AC10" s="98">
        <f>'Природный газ'!$B$4</f>
        <v>1.59</v>
      </c>
      <c r="AD10" s="141">
        <f>AC10*AB10*1000</f>
        <v>11625.732434257592</v>
      </c>
    </row>
    <row r="11" spans="1:34" ht="26.25" customHeight="1" x14ac:dyDescent="0.2">
      <c r="A11" s="435"/>
      <c r="B11" s="94">
        <v>2026</v>
      </c>
      <c r="C11" s="363">
        <f>AVERAGE('Исходные данные_котельные'!$D$13:$F$13)</f>
        <v>63.719333333333331</v>
      </c>
      <c r="D11" s="98">
        <f t="shared" ref="D11:D16" si="0">SUM($D$7:$D$9)/SUM($C$7:$C$9)*C11</f>
        <v>3.0894527212480254</v>
      </c>
      <c r="E11" s="98">
        <f>'Природный газ'!$B$4</f>
        <v>1.59</v>
      </c>
      <c r="F11" s="141">
        <f t="shared" ref="F11:F16" si="1">E11*D11*1000</f>
        <v>4912.2298267843607</v>
      </c>
      <c r="G11" s="363">
        <f>AVERAGE('Исходные данные_котельные'!$D$12:$F$12)</f>
        <v>43.592333333333329</v>
      </c>
      <c r="H11" s="98">
        <f t="shared" ref="H11:H16" si="2">SUM($H$7:$H$9)/SUM($G$7:$G$9)*G11</f>
        <v>0.89259957584743344</v>
      </c>
      <c r="I11" s="98">
        <f>'Природный газ'!$B$4</f>
        <v>1.59</v>
      </c>
      <c r="J11" s="141">
        <f t="shared" ref="J11:J16" si="3">I11*H11*1000</f>
        <v>1419.2333255974193</v>
      </c>
      <c r="K11" s="98">
        <f>AVERAGE('Исходные данные_котельные'!$D$16:$F$16)</f>
        <v>22.765420333333335</v>
      </c>
      <c r="L11" s="98">
        <f t="shared" ref="L11:L16" si="4">SUM($L$7:$L$9)/SUM($K$7:$K$9)*K11</f>
        <v>0.42164231967242555</v>
      </c>
      <c r="M11" s="98">
        <f>'Природный газ'!$B$4</f>
        <v>1.59</v>
      </c>
      <c r="N11" s="141">
        <f t="shared" ref="N11:N16" si="5">M11*L11*1000</f>
        <v>670.41128827915668</v>
      </c>
      <c r="O11" s="98">
        <f>AVERAGE('Исходные данные_котельные'!$D$14:$F$14)</f>
        <v>75.624159333333324</v>
      </c>
      <c r="P11" s="98">
        <f>SUM($P$7:$P$9)/SUM($O$7:$O$9)*O11</f>
        <v>2.0863121706340682</v>
      </c>
      <c r="Q11" s="98">
        <f>'Природный газ'!$B$4</f>
        <v>1.59</v>
      </c>
      <c r="R11" s="141">
        <f t="shared" ref="R11:R16" si="6">Q11*P11*1000</f>
        <v>3317.2363513081687</v>
      </c>
      <c r="S11" s="98">
        <f>AVERAGE('Исходные данные_котельные'!$D$15:$F$15)</f>
        <v>2.179767</v>
      </c>
      <c r="T11" s="98">
        <f t="shared" ref="T11:T16" si="7">SUM($T$7:$T$9)/SUM($S$7:$S$9)*S11</f>
        <v>9.8859413290999426E-2</v>
      </c>
      <c r="U11" s="98">
        <f>'Природный газ'!$B$4</f>
        <v>1.59</v>
      </c>
      <c r="V11" s="141">
        <f t="shared" ref="V11:V16" si="8">U11*T11*1000</f>
        <v>157.1864671326891</v>
      </c>
      <c r="W11" s="98">
        <f>AVERAGE('Исходные данные_котельные'!$D$17:$F$17)</f>
        <v>257.91360466666663</v>
      </c>
      <c r="X11" s="98">
        <f t="shared" ref="X11:X16" si="9">SUM($X$7:$X$9)/SUM($W$7:$W$9)*W11</f>
        <v>10.769108361306667</v>
      </c>
      <c r="Y11" s="98">
        <f>'Природный газ'!$B$4</f>
        <v>1.59</v>
      </c>
      <c r="Z11" s="141">
        <f t="shared" ref="Z11:Z16" si="10">Y11*X11*1000</f>
        <v>17122.8822944776</v>
      </c>
      <c r="AA11" s="98">
        <f>AVERAGE('Исходные данные_котельные'!$D$18:$F$18)</f>
        <v>163.87146266666664</v>
      </c>
      <c r="AB11" s="98">
        <f t="shared" ref="AB11:AB16" si="11">SUM($AB$7:$AB$9)/SUM($AA$7:$AA$9)*AA11</f>
        <v>7.3117814051934547</v>
      </c>
      <c r="AC11" s="98">
        <f>'Природный газ'!$B$4</f>
        <v>1.59</v>
      </c>
      <c r="AD11" s="141">
        <f t="shared" ref="AD11:AD16" si="12">AC11*AB11*1000</f>
        <v>11625.732434257592</v>
      </c>
    </row>
    <row r="12" spans="1:34" ht="26.25" customHeight="1" x14ac:dyDescent="0.2">
      <c r="A12" s="435"/>
      <c r="B12" s="94">
        <v>2027</v>
      </c>
      <c r="C12" s="363">
        <f>AVERAGE('Исходные данные_котельные'!$D$13:$F$13)</f>
        <v>63.719333333333331</v>
      </c>
      <c r="D12" s="98">
        <f t="shared" si="0"/>
        <v>3.0894527212480254</v>
      </c>
      <c r="E12" s="98">
        <f>'Природный газ'!$B$4</f>
        <v>1.59</v>
      </c>
      <c r="F12" s="141">
        <f t="shared" si="1"/>
        <v>4912.2298267843607</v>
      </c>
      <c r="G12" s="363">
        <f>AVERAGE('Исходные данные_котельные'!$D$12:$F$12)</f>
        <v>43.592333333333329</v>
      </c>
      <c r="H12" s="98">
        <f t="shared" si="2"/>
        <v>0.89259957584743344</v>
      </c>
      <c r="I12" s="98">
        <f>'Природный газ'!$B$4</f>
        <v>1.59</v>
      </c>
      <c r="J12" s="141">
        <f t="shared" si="3"/>
        <v>1419.2333255974193</v>
      </c>
      <c r="K12" s="98">
        <f>AVERAGE('Исходные данные_котельные'!$D$16:$F$16)</f>
        <v>22.765420333333335</v>
      </c>
      <c r="L12" s="98">
        <f t="shared" si="4"/>
        <v>0.42164231967242555</v>
      </c>
      <c r="M12" s="98">
        <f>'Природный газ'!$B$4</f>
        <v>1.59</v>
      </c>
      <c r="N12" s="141">
        <f t="shared" si="5"/>
        <v>670.41128827915668</v>
      </c>
      <c r="O12" s="98">
        <f>AVERAGE('Исходные данные_котельные'!$D$14:$F$14)</f>
        <v>75.624159333333324</v>
      </c>
      <c r="P12" s="98">
        <f t="shared" ref="P12:P16" si="13">SUM($P$7:$P$9)/SUM($O$7:$O$9)*O12</f>
        <v>2.0863121706340682</v>
      </c>
      <c r="Q12" s="98">
        <f>'Природный газ'!$B$4</f>
        <v>1.59</v>
      </c>
      <c r="R12" s="141">
        <f t="shared" si="6"/>
        <v>3317.2363513081687</v>
      </c>
      <c r="S12" s="98">
        <f>AVERAGE('Исходные данные_котельные'!$D$15:$F$15)</f>
        <v>2.179767</v>
      </c>
      <c r="T12" s="98">
        <f t="shared" si="7"/>
        <v>9.8859413290999426E-2</v>
      </c>
      <c r="U12" s="98">
        <f>'Природный газ'!$B$4</f>
        <v>1.59</v>
      </c>
      <c r="V12" s="141">
        <f t="shared" si="8"/>
        <v>157.1864671326891</v>
      </c>
      <c r="W12" s="98">
        <f>AVERAGE('Исходные данные_котельные'!$D$17:$F$17)</f>
        <v>257.91360466666663</v>
      </c>
      <c r="X12" s="98">
        <f t="shared" si="9"/>
        <v>10.769108361306667</v>
      </c>
      <c r="Y12" s="98">
        <f>'Природный газ'!$B$4</f>
        <v>1.59</v>
      </c>
      <c r="Z12" s="141">
        <f t="shared" si="10"/>
        <v>17122.8822944776</v>
      </c>
      <c r="AA12" s="98">
        <f>AVERAGE('Исходные данные_котельные'!$D$18:$F$18)</f>
        <v>163.87146266666664</v>
      </c>
      <c r="AB12" s="98">
        <f t="shared" si="11"/>
        <v>7.3117814051934547</v>
      </c>
      <c r="AC12" s="98">
        <f>'Природный газ'!$B$4</f>
        <v>1.59</v>
      </c>
      <c r="AD12" s="141">
        <f t="shared" si="12"/>
        <v>11625.732434257592</v>
      </c>
    </row>
    <row r="13" spans="1:34" ht="26.25" customHeight="1" x14ac:dyDescent="0.2">
      <c r="A13" s="435"/>
      <c r="B13" s="94">
        <v>2028</v>
      </c>
      <c r="C13" s="363">
        <f>AVERAGE('Исходные данные_котельные'!$D$13:$F$13)</f>
        <v>63.719333333333331</v>
      </c>
      <c r="D13" s="98">
        <f t="shared" si="0"/>
        <v>3.0894527212480254</v>
      </c>
      <c r="E13" s="98">
        <f>'Природный газ'!$B$4</f>
        <v>1.59</v>
      </c>
      <c r="F13" s="141">
        <f t="shared" si="1"/>
        <v>4912.2298267843607</v>
      </c>
      <c r="G13" s="363">
        <f>AVERAGE('Исходные данные_котельные'!$D$12:$F$12)</f>
        <v>43.592333333333329</v>
      </c>
      <c r="H13" s="98">
        <f t="shared" si="2"/>
        <v>0.89259957584743344</v>
      </c>
      <c r="I13" s="98">
        <f>'Природный газ'!$B$4</f>
        <v>1.59</v>
      </c>
      <c r="J13" s="141">
        <f t="shared" si="3"/>
        <v>1419.2333255974193</v>
      </c>
      <c r="K13" s="98">
        <f>AVERAGE('Исходные данные_котельные'!$D$16:$F$16)</f>
        <v>22.765420333333335</v>
      </c>
      <c r="L13" s="98">
        <f t="shared" si="4"/>
        <v>0.42164231967242555</v>
      </c>
      <c r="M13" s="98">
        <f>'Природный газ'!$B$4</f>
        <v>1.59</v>
      </c>
      <c r="N13" s="141">
        <f t="shared" si="5"/>
        <v>670.41128827915668</v>
      </c>
      <c r="O13" s="98">
        <f>AVERAGE('Исходные данные_котельные'!$D$14:$F$14)</f>
        <v>75.624159333333324</v>
      </c>
      <c r="P13" s="98">
        <f t="shared" si="13"/>
        <v>2.0863121706340682</v>
      </c>
      <c r="Q13" s="98">
        <f>'Природный газ'!$B$4</f>
        <v>1.59</v>
      </c>
      <c r="R13" s="141">
        <f t="shared" si="6"/>
        <v>3317.2363513081687</v>
      </c>
      <c r="S13" s="98">
        <f>AVERAGE('Исходные данные_котельные'!$D$15:$F$15)</f>
        <v>2.179767</v>
      </c>
      <c r="T13" s="98">
        <f t="shared" si="7"/>
        <v>9.8859413290999426E-2</v>
      </c>
      <c r="U13" s="98">
        <f>'Природный газ'!$B$4</f>
        <v>1.59</v>
      </c>
      <c r="V13" s="141">
        <f t="shared" si="8"/>
        <v>157.1864671326891</v>
      </c>
      <c r="W13" s="98">
        <f>AVERAGE('Исходные данные_котельные'!$D$17:$F$17)</f>
        <v>257.91360466666663</v>
      </c>
      <c r="X13" s="98">
        <f t="shared" si="9"/>
        <v>10.769108361306667</v>
      </c>
      <c r="Y13" s="98">
        <f>'Природный газ'!$B$4</f>
        <v>1.59</v>
      </c>
      <c r="Z13" s="141">
        <f t="shared" si="10"/>
        <v>17122.8822944776</v>
      </c>
      <c r="AA13" s="98">
        <f>AVERAGE('Исходные данные_котельные'!$D$18:$F$18)</f>
        <v>163.87146266666664</v>
      </c>
      <c r="AB13" s="98">
        <f t="shared" si="11"/>
        <v>7.3117814051934547</v>
      </c>
      <c r="AC13" s="98">
        <f>'Природный газ'!$B$4</f>
        <v>1.59</v>
      </c>
      <c r="AD13" s="141">
        <f t="shared" si="12"/>
        <v>11625.732434257592</v>
      </c>
    </row>
    <row r="14" spans="1:34" ht="26.25" customHeight="1" x14ac:dyDescent="0.2">
      <c r="A14" s="435"/>
      <c r="B14" s="94">
        <v>2029</v>
      </c>
      <c r="C14" s="363">
        <f>AVERAGE('Исходные данные_котельные'!$D$13:$F$13)</f>
        <v>63.719333333333331</v>
      </c>
      <c r="D14" s="98">
        <f t="shared" si="0"/>
        <v>3.0894527212480254</v>
      </c>
      <c r="E14" s="98">
        <f>'Природный газ'!$B$4</f>
        <v>1.59</v>
      </c>
      <c r="F14" s="141">
        <f t="shared" si="1"/>
        <v>4912.2298267843607</v>
      </c>
      <c r="G14" s="363">
        <f>AVERAGE('Исходные данные_котельные'!$D$12:$F$12)</f>
        <v>43.592333333333329</v>
      </c>
      <c r="H14" s="98">
        <f t="shared" si="2"/>
        <v>0.89259957584743344</v>
      </c>
      <c r="I14" s="98">
        <f>'Природный газ'!$B$4</f>
        <v>1.59</v>
      </c>
      <c r="J14" s="141">
        <f t="shared" si="3"/>
        <v>1419.2333255974193</v>
      </c>
      <c r="K14" s="98">
        <f>AVERAGE('Исходные данные_котельные'!$D$16:$F$16)</f>
        <v>22.765420333333335</v>
      </c>
      <c r="L14" s="98">
        <f t="shared" si="4"/>
        <v>0.42164231967242555</v>
      </c>
      <c r="M14" s="98">
        <f>'Природный газ'!$B$4</f>
        <v>1.59</v>
      </c>
      <c r="N14" s="141">
        <f t="shared" si="5"/>
        <v>670.41128827915668</v>
      </c>
      <c r="O14" s="98">
        <f>AVERAGE('Исходные данные_котельные'!$D$14:$F$14)</f>
        <v>75.624159333333324</v>
      </c>
      <c r="P14" s="98">
        <f t="shared" si="13"/>
        <v>2.0863121706340682</v>
      </c>
      <c r="Q14" s="98">
        <f>'Природный газ'!$B$4</f>
        <v>1.59</v>
      </c>
      <c r="R14" s="141">
        <f t="shared" si="6"/>
        <v>3317.2363513081687</v>
      </c>
      <c r="S14" s="98">
        <f>AVERAGE('Исходные данные_котельные'!$D$15:$F$15)</f>
        <v>2.179767</v>
      </c>
      <c r="T14" s="98">
        <f t="shared" si="7"/>
        <v>9.8859413290999426E-2</v>
      </c>
      <c r="U14" s="98">
        <f>'Природный газ'!$B$4</f>
        <v>1.59</v>
      </c>
      <c r="V14" s="141">
        <f t="shared" si="8"/>
        <v>157.1864671326891</v>
      </c>
      <c r="W14" s="98">
        <f>AVERAGE('Исходные данные_котельные'!$D$17:$F$17)</f>
        <v>257.91360466666663</v>
      </c>
      <c r="X14" s="98">
        <f t="shared" si="9"/>
        <v>10.769108361306667</v>
      </c>
      <c r="Y14" s="98">
        <f>'Природный газ'!$B$4</f>
        <v>1.59</v>
      </c>
      <c r="Z14" s="141">
        <f t="shared" si="10"/>
        <v>17122.8822944776</v>
      </c>
      <c r="AA14" s="98">
        <f>AVERAGE('Исходные данные_котельные'!$D$18:$F$18)</f>
        <v>163.87146266666664</v>
      </c>
      <c r="AB14" s="98">
        <f t="shared" si="11"/>
        <v>7.3117814051934547</v>
      </c>
      <c r="AC14" s="98">
        <f>'Природный газ'!$B$4</f>
        <v>1.59</v>
      </c>
      <c r="AD14" s="141">
        <f t="shared" si="12"/>
        <v>11625.732434257592</v>
      </c>
    </row>
    <row r="15" spans="1:34" ht="26.25" customHeight="1" x14ac:dyDescent="0.2">
      <c r="A15" s="435"/>
      <c r="B15" s="94">
        <v>2030</v>
      </c>
      <c r="C15" s="363">
        <f>AVERAGE('Исходные данные_котельные'!$D$13:$F$13)</f>
        <v>63.719333333333331</v>
      </c>
      <c r="D15" s="98">
        <f t="shared" si="0"/>
        <v>3.0894527212480254</v>
      </c>
      <c r="E15" s="98">
        <f>'Природный газ'!$B$4</f>
        <v>1.59</v>
      </c>
      <c r="F15" s="141">
        <f t="shared" si="1"/>
        <v>4912.2298267843607</v>
      </c>
      <c r="G15" s="363">
        <f>AVERAGE('Исходные данные_котельные'!$D$12:$F$12)</f>
        <v>43.592333333333329</v>
      </c>
      <c r="H15" s="98">
        <f t="shared" si="2"/>
        <v>0.89259957584743344</v>
      </c>
      <c r="I15" s="98">
        <f>'Природный газ'!$B$4</f>
        <v>1.59</v>
      </c>
      <c r="J15" s="141">
        <f t="shared" si="3"/>
        <v>1419.2333255974193</v>
      </c>
      <c r="K15" s="98">
        <f>AVERAGE('Исходные данные_котельные'!$D$16:$F$16)</f>
        <v>22.765420333333335</v>
      </c>
      <c r="L15" s="98">
        <f t="shared" si="4"/>
        <v>0.42164231967242555</v>
      </c>
      <c r="M15" s="98">
        <f>'Природный газ'!$B$4</f>
        <v>1.59</v>
      </c>
      <c r="N15" s="141">
        <f t="shared" si="5"/>
        <v>670.41128827915668</v>
      </c>
      <c r="O15" s="98">
        <f>AVERAGE('Исходные данные_котельные'!$D$14:$F$14)</f>
        <v>75.624159333333324</v>
      </c>
      <c r="P15" s="98">
        <f t="shared" si="13"/>
        <v>2.0863121706340682</v>
      </c>
      <c r="Q15" s="98">
        <f>'Природный газ'!$B$4</f>
        <v>1.59</v>
      </c>
      <c r="R15" s="141">
        <f t="shared" si="6"/>
        <v>3317.2363513081687</v>
      </c>
      <c r="S15" s="98">
        <f>AVERAGE('Исходные данные_котельные'!$D$15:$F$15)</f>
        <v>2.179767</v>
      </c>
      <c r="T15" s="98">
        <f t="shared" si="7"/>
        <v>9.8859413290999426E-2</v>
      </c>
      <c r="U15" s="98">
        <f>'Природный газ'!$B$4</f>
        <v>1.59</v>
      </c>
      <c r="V15" s="141">
        <f t="shared" si="8"/>
        <v>157.1864671326891</v>
      </c>
      <c r="W15" s="98">
        <f>AVERAGE('Исходные данные_котельные'!$D$17:$F$17)</f>
        <v>257.91360466666663</v>
      </c>
      <c r="X15" s="98">
        <f t="shared" si="9"/>
        <v>10.769108361306667</v>
      </c>
      <c r="Y15" s="98">
        <f>'Природный газ'!$B$4</f>
        <v>1.59</v>
      </c>
      <c r="Z15" s="141">
        <f t="shared" si="10"/>
        <v>17122.8822944776</v>
      </c>
      <c r="AA15" s="98">
        <f>AVERAGE('Исходные данные_котельные'!$D$18:$F$18)</f>
        <v>163.87146266666664</v>
      </c>
      <c r="AB15" s="98">
        <f t="shared" si="11"/>
        <v>7.3117814051934547</v>
      </c>
      <c r="AC15" s="98">
        <f>'Природный газ'!$B$4</f>
        <v>1.59</v>
      </c>
      <c r="AD15" s="141">
        <f t="shared" si="12"/>
        <v>11625.732434257592</v>
      </c>
    </row>
    <row r="16" spans="1:34" ht="26.25" customHeight="1" x14ac:dyDescent="0.2">
      <c r="A16" s="435"/>
      <c r="B16" s="94" t="s">
        <v>55</v>
      </c>
      <c r="C16" s="363">
        <f>AVERAGE('Исходные данные_котельные'!$D$13:$F$13)*(182/365)</f>
        <v>31.772379908675799</v>
      </c>
      <c r="D16" s="98">
        <f t="shared" si="0"/>
        <v>1.5404942336086045</v>
      </c>
      <c r="E16" s="98">
        <f>'Природный газ'!$B$4</f>
        <v>1.59</v>
      </c>
      <c r="F16" s="141">
        <f t="shared" si="1"/>
        <v>2449.3858314376812</v>
      </c>
      <c r="G16" s="363">
        <f>AVERAGE('Исходные данные_котельные'!$D$12:$F$12)*(182/365)</f>
        <v>21.736451141552511</v>
      </c>
      <c r="H16" s="98">
        <f t="shared" si="2"/>
        <v>0.44507704877872023</v>
      </c>
      <c r="I16" s="98">
        <f>'Природный газ'!$B$4</f>
        <v>1.59</v>
      </c>
      <c r="J16" s="141">
        <f t="shared" si="3"/>
        <v>707.67250755816519</v>
      </c>
      <c r="K16" s="98">
        <f>AVERAGE('Исходные данные_котельные'!$D$16:$F$16)*(182/365)</f>
        <v>11.351524659360731</v>
      </c>
      <c r="L16" s="98">
        <f t="shared" si="4"/>
        <v>0.21024356761748342</v>
      </c>
      <c r="M16" s="98">
        <f>'Природный газ'!$B$4</f>
        <v>1.59</v>
      </c>
      <c r="N16" s="141">
        <f t="shared" si="5"/>
        <v>334.28727251179862</v>
      </c>
      <c r="O16" s="98">
        <f>AVERAGE('Исходные данные_котельные'!$D$14:$F$14)*(182/365)</f>
        <v>37.708484927853874</v>
      </c>
      <c r="P16" s="98">
        <f t="shared" si="13"/>
        <v>1.040298123439453</v>
      </c>
      <c r="Q16" s="98">
        <f>'Природный газ'!$B$4</f>
        <v>1.59</v>
      </c>
      <c r="R16" s="141">
        <f t="shared" si="6"/>
        <v>1654.0740162687305</v>
      </c>
      <c r="S16" s="98">
        <f>AVERAGE('Исходные данные_котельные'!$D$15:$F$15)*(182/365)</f>
        <v>1.0868975178082192</v>
      </c>
      <c r="T16" s="98">
        <f t="shared" si="7"/>
        <v>4.9294282791676428E-2</v>
      </c>
      <c r="U16" s="98">
        <f>'Природный газ'!$B$4</f>
        <v>1.59</v>
      </c>
      <c r="V16" s="141">
        <f t="shared" si="8"/>
        <v>78.377909638765516</v>
      </c>
      <c r="W16" s="98">
        <f>AVERAGE('Исходные данные_котельные'!$D$17:$F$17)*(182/365)</f>
        <v>128.60349602557076</v>
      </c>
      <c r="X16" s="98">
        <f t="shared" si="9"/>
        <v>5.3698019774186676</v>
      </c>
      <c r="Y16" s="98">
        <f>'Природный газ'!$B$4</f>
        <v>1.59</v>
      </c>
      <c r="Z16" s="141">
        <f t="shared" si="10"/>
        <v>8537.9851440956827</v>
      </c>
      <c r="AA16" s="98">
        <f>AVERAGE('Исходные данные_котельные'!$D$18:$F$18)*(182/365)</f>
        <v>81.711249877625562</v>
      </c>
      <c r="AB16" s="98">
        <f t="shared" si="11"/>
        <v>3.6458745636855037</v>
      </c>
      <c r="AC16" s="98">
        <f>'Природный газ'!$B$4</f>
        <v>1.59</v>
      </c>
      <c r="AD16" s="141">
        <f t="shared" si="12"/>
        <v>5796.9405562599513</v>
      </c>
    </row>
    <row r="17" spans="1:34" x14ac:dyDescent="0.2">
      <c r="A17" s="86"/>
      <c r="B17" s="86"/>
      <c r="C17" s="86"/>
      <c r="D17" s="86"/>
      <c r="E17" s="86"/>
      <c r="F17" s="99"/>
      <c r="G17" s="86"/>
      <c r="H17" s="86"/>
      <c r="I17" s="86"/>
      <c r="J17" s="99"/>
      <c r="K17" s="86"/>
      <c r="L17" s="86"/>
      <c r="M17" s="86"/>
      <c r="N17" s="99"/>
      <c r="O17" s="86"/>
      <c r="P17" s="86"/>
      <c r="Q17" s="86"/>
      <c r="R17" s="99"/>
      <c r="S17" s="86"/>
      <c r="T17" s="86"/>
      <c r="U17" s="86"/>
      <c r="V17" s="99"/>
      <c r="W17" s="86"/>
      <c r="X17" s="86"/>
      <c r="Y17" s="86"/>
      <c r="Z17" s="99"/>
      <c r="AA17" s="86"/>
      <c r="AB17" s="86"/>
      <c r="AC17" s="86"/>
      <c r="AD17" s="99"/>
      <c r="AE17" s="86"/>
      <c r="AF17" s="86"/>
      <c r="AG17" s="86"/>
      <c r="AH17" s="99"/>
    </row>
    <row r="18" spans="1:34" x14ac:dyDescent="0.2">
      <c r="A18" s="86"/>
      <c r="B18" s="86"/>
      <c r="C18" s="86"/>
      <c r="D18" s="86"/>
      <c r="E18" s="86"/>
      <c r="F18" s="99"/>
      <c r="G18" s="86"/>
      <c r="H18" s="86"/>
      <c r="I18" s="86"/>
      <c r="J18" s="99"/>
      <c r="K18" s="86"/>
      <c r="L18" s="86"/>
      <c r="M18" s="86"/>
      <c r="N18" s="99"/>
      <c r="O18" s="86"/>
      <c r="P18" s="86"/>
      <c r="Q18" s="86"/>
      <c r="R18" s="99"/>
      <c r="S18" s="86"/>
      <c r="T18" s="86"/>
      <c r="U18" s="86"/>
      <c r="V18" s="99"/>
      <c r="W18" s="86"/>
      <c r="X18" s="86"/>
      <c r="Y18" s="86"/>
      <c r="Z18" s="99"/>
      <c r="AA18" s="412">
        <f>C15+G15+K15+O15+S15+W15+AA15</f>
        <v>629.66608066666663</v>
      </c>
      <c r="AB18" s="412">
        <f>D15+H15+L15+P15+T15+X15+AB15</f>
        <v>24.669755967193073</v>
      </c>
      <c r="AC18" s="412">
        <f>E15+I15+M15+Q15+U15+Y15+AC15</f>
        <v>11.13</v>
      </c>
      <c r="AD18" s="412">
        <f>F15+J15+N15+R15+V15+Z15+AD15</f>
        <v>39224.911987836982</v>
      </c>
      <c r="AE18" s="86"/>
      <c r="AF18" s="86"/>
      <c r="AG18" s="86"/>
      <c r="AH18" s="99"/>
    </row>
  </sheetData>
  <mergeCells count="9">
    <mergeCell ref="W3:Z3"/>
    <mergeCell ref="AA3:AD3"/>
    <mergeCell ref="S3:V3"/>
    <mergeCell ref="A10:A16"/>
    <mergeCell ref="A6:A9"/>
    <mergeCell ref="C3:F3"/>
    <mergeCell ref="G3:J3"/>
    <mergeCell ref="O3:R3"/>
    <mergeCell ref="K3:N3"/>
  </mergeCells>
  <pageMargins left="0.7" right="0.7" top="0.75" bottom="0.75" header="0.3" footer="0.3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DC707-B8BE-4BE9-A05B-030C9B97EB90}">
  <sheetPr>
    <tabColor rgb="FFAEAAAA"/>
  </sheetPr>
  <dimension ref="A1"/>
  <sheetViews>
    <sheetView showGridLines="0" workbookViewId="0">
      <selection activeCell="V13" sqref="V13"/>
    </sheetView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0EDBE-671A-484B-954E-1398E7C7BC1B}">
  <sheetPr>
    <tabColor rgb="FFAEAAAA"/>
  </sheetPr>
  <dimension ref="A1:BB779"/>
  <sheetViews>
    <sheetView showGridLines="0" zoomScale="70" zoomScaleNormal="70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S24" sqref="S24"/>
    </sheetView>
  </sheetViews>
  <sheetFormatPr defaultColWidth="9.140625" defaultRowHeight="15" x14ac:dyDescent="0.25"/>
  <cols>
    <col min="1" max="1" width="7" customWidth="1"/>
    <col min="2" max="2" width="8.85546875" style="10" customWidth="1"/>
    <col min="3" max="3" width="34.42578125" style="41" customWidth="1"/>
    <col min="4" max="4" width="14.7109375" style="42" customWidth="1"/>
    <col min="5" max="5" width="11.28515625" style="43" customWidth="1"/>
    <col min="6" max="6" width="10.85546875" style="13" customWidth="1"/>
    <col min="7" max="7" width="9.42578125" style="13" customWidth="1"/>
    <col min="8" max="8" width="9.7109375" style="13" customWidth="1"/>
    <col min="9" max="10" width="9.7109375" style="50" customWidth="1"/>
    <col min="11" max="11" width="10.140625" style="51" customWidth="1"/>
    <col min="12" max="12" width="9.28515625" style="52" customWidth="1"/>
    <col min="13" max="13" width="9.28515625" style="50" bestFit="1" customWidth="1"/>
    <col min="14" max="14" width="11.140625" style="53" customWidth="1"/>
    <col min="15" max="15" width="10.140625" style="48" customWidth="1"/>
    <col min="16" max="16" width="9.42578125" style="13" customWidth="1"/>
    <col min="17" max="17" width="10.140625" style="13" customWidth="1"/>
    <col min="18" max="18" width="10.85546875" style="47" customWidth="1"/>
    <col min="19" max="19" width="9.42578125" style="13" customWidth="1"/>
    <col min="20" max="20" width="9.7109375" style="13" customWidth="1"/>
    <col min="21" max="22" width="9.7109375" style="50" customWidth="1"/>
    <col min="23" max="23" width="10.140625" style="51" customWidth="1"/>
    <col min="24" max="24" width="9.28515625" style="52" customWidth="1"/>
    <col min="25" max="25" width="9.42578125" style="50" bestFit="1" customWidth="1"/>
    <col min="26" max="26" width="11.140625" style="53" customWidth="1"/>
    <col min="27" max="27" width="10.140625" style="48" customWidth="1"/>
    <col min="28" max="28" width="9.42578125" style="13" customWidth="1"/>
    <col min="29" max="29" width="10.140625" style="13" customWidth="1"/>
    <col min="30" max="30" width="10.85546875" style="47" customWidth="1"/>
    <col min="31" max="32" width="12.28515625" style="13" customWidth="1"/>
    <col min="33" max="34" width="12.28515625" style="50" customWidth="1"/>
    <col min="35" max="35" width="12.28515625" style="51" customWidth="1"/>
    <col min="36" max="36" width="12.28515625" style="52" customWidth="1"/>
    <col min="37" max="37" width="12.28515625" style="50" customWidth="1"/>
    <col min="38" max="38" width="12.28515625" style="53" customWidth="1"/>
    <col min="39" max="39" width="12.28515625" style="48" customWidth="1"/>
    <col min="40" max="41" width="12.28515625" style="13" customWidth="1"/>
    <col min="42" max="42" width="10.85546875" style="47" customWidth="1"/>
    <col min="43" max="53" width="12.28515625" style="13" customWidth="1"/>
    <col min="54" max="54" width="9.140625" style="11"/>
    <col min="55" max="16384" width="9.140625" style="10"/>
  </cols>
  <sheetData>
    <row r="1" spans="2:54" x14ac:dyDescent="0.25">
      <c r="I1" s="13"/>
      <c r="J1" s="13"/>
      <c r="K1" s="44"/>
      <c r="L1" s="12"/>
      <c r="M1" s="13"/>
      <c r="N1" s="45"/>
      <c r="R1" s="13"/>
      <c r="U1" s="13"/>
      <c r="V1" s="13"/>
      <c r="W1" s="44"/>
      <c r="X1" s="12"/>
      <c r="Y1" s="13"/>
      <c r="Z1" s="45"/>
      <c r="AD1" s="13"/>
      <c r="AG1" s="13"/>
      <c r="AH1" s="13"/>
      <c r="AI1" s="44"/>
      <c r="AJ1" s="12"/>
      <c r="AK1" s="13"/>
      <c r="AL1" s="45"/>
      <c r="AP1" s="13"/>
    </row>
    <row r="2" spans="2:54" ht="33.75" customHeight="1" x14ac:dyDescent="0.25">
      <c r="C2" s="423" t="s">
        <v>0</v>
      </c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3"/>
      <c r="AI2" s="423"/>
      <c r="AJ2" s="423"/>
      <c r="AK2" s="423"/>
      <c r="AL2" s="423"/>
      <c r="AM2" s="423"/>
      <c r="AN2" s="423"/>
      <c r="AO2" s="423"/>
      <c r="AP2"/>
      <c r="AQ2"/>
      <c r="AR2"/>
      <c r="AS2"/>
      <c r="AT2"/>
      <c r="AU2"/>
      <c r="AV2"/>
      <c r="AW2"/>
      <c r="AX2"/>
      <c r="AY2"/>
      <c r="AZ2"/>
      <c r="BA2"/>
      <c r="BB2"/>
    </row>
    <row r="3" spans="2:54" ht="20.25" customHeight="1" thickBot="1" x14ac:dyDescent="0.3">
      <c r="C3" s="424" t="s">
        <v>56</v>
      </c>
      <c r="D3" s="424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 t="s">
        <v>24</v>
      </c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 t="s">
        <v>32</v>
      </c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 t="s">
        <v>60</v>
      </c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</row>
    <row r="4" spans="2:54" ht="29.25" customHeight="1" thickBot="1" x14ac:dyDescent="0.3">
      <c r="C4" s="425" t="s">
        <v>1</v>
      </c>
      <c r="D4" s="426" t="s">
        <v>22</v>
      </c>
      <c r="E4" s="427" t="s">
        <v>2</v>
      </c>
      <c r="F4" s="425" t="s">
        <v>57</v>
      </c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5" t="s">
        <v>57</v>
      </c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5" t="s">
        <v>57</v>
      </c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0" t="s">
        <v>59</v>
      </c>
      <c r="AQ4" s="421"/>
      <c r="AR4" s="421"/>
      <c r="AS4" s="421"/>
      <c r="AT4" s="421"/>
      <c r="AU4" s="421"/>
      <c r="AV4" s="421"/>
      <c r="AW4" s="421"/>
      <c r="AX4" s="421"/>
      <c r="AY4" s="421"/>
      <c r="AZ4" s="421"/>
      <c r="BA4" s="421"/>
      <c r="BB4" s="13"/>
    </row>
    <row r="5" spans="2:54" ht="15" customHeight="1" thickBot="1" x14ac:dyDescent="0.3">
      <c r="C5" s="426"/>
      <c r="D5" s="428"/>
      <c r="E5" s="427"/>
      <c r="F5" s="14" t="s">
        <v>3</v>
      </c>
      <c r="G5" s="14" t="s">
        <v>4</v>
      </c>
      <c r="H5" s="14" t="s">
        <v>5</v>
      </c>
      <c r="I5" s="14" t="s">
        <v>6</v>
      </c>
      <c r="J5" s="14" t="s">
        <v>7</v>
      </c>
      <c r="K5" s="14" t="s">
        <v>8</v>
      </c>
      <c r="L5" s="15" t="s">
        <v>9</v>
      </c>
      <c r="M5" s="14" t="s">
        <v>10</v>
      </c>
      <c r="N5" s="16" t="s">
        <v>11</v>
      </c>
      <c r="O5" s="15" t="s">
        <v>12</v>
      </c>
      <c r="P5" s="14" t="s">
        <v>13</v>
      </c>
      <c r="Q5" s="14" t="s">
        <v>14</v>
      </c>
      <c r="R5" s="14" t="s">
        <v>3</v>
      </c>
      <c r="S5" s="14" t="s">
        <v>4</v>
      </c>
      <c r="T5" s="14" t="s">
        <v>5</v>
      </c>
      <c r="U5" s="14" t="s">
        <v>6</v>
      </c>
      <c r="V5" s="14" t="s">
        <v>7</v>
      </c>
      <c r="W5" s="14" t="s">
        <v>8</v>
      </c>
      <c r="X5" s="15" t="s">
        <v>9</v>
      </c>
      <c r="Y5" s="14" t="s">
        <v>10</v>
      </c>
      <c r="Z5" s="16" t="s">
        <v>11</v>
      </c>
      <c r="AA5" s="15" t="s">
        <v>12</v>
      </c>
      <c r="AB5" s="14" t="s">
        <v>13</v>
      </c>
      <c r="AC5" s="14" t="s">
        <v>14</v>
      </c>
      <c r="AD5" s="14" t="s">
        <v>3</v>
      </c>
      <c r="AE5" s="14" t="s">
        <v>4</v>
      </c>
      <c r="AF5" s="14" t="s">
        <v>5</v>
      </c>
      <c r="AG5" s="14" t="s">
        <v>6</v>
      </c>
      <c r="AH5" s="14" t="s">
        <v>7</v>
      </c>
      <c r="AI5" s="14" t="s">
        <v>8</v>
      </c>
      <c r="AJ5" s="15" t="s">
        <v>9</v>
      </c>
      <c r="AK5" s="14" t="s">
        <v>10</v>
      </c>
      <c r="AL5" s="16" t="s">
        <v>11</v>
      </c>
      <c r="AM5" s="15" t="s">
        <v>12</v>
      </c>
      <c r="AN5" s="14" t="s">
        <v>13</v>
      </c>
      <c r="AO5" s="14" t="s">
        <v>14</v>
      </c>
      <c r="AP5" s="14" t="s">
        <v>3</v>
      </c>
      <c r="AQ5" s="106" t="s">
        <v>4</v>
      </c>
      <c r="AR5" s="106" t="s">
        <v>5</v>
      </c>
      <c r="AS5" s="106" t="s">
        <v>6</v>
      </c>
      <c r="AT5" s="106" t="s">
        <v>7</v>
      </c>
      <c r="AU5" s="106" t="s">
        <v>8</v>
      </c>
      <c r="AV5" s="107" t="s">
        <v>9</v>
      </c>
      <c r="AW5" s="106" t="s">
        <v>10</v>
      </c>
      <c r="AX5" s="108" t="s">
        <v>11</v>
      </c>
      <c r="AY5" s="107" t="s">
        <v>12</v>
      </c>
      <c r="AZ5" s="106" t="s">
        <v>13</v>
      </c>
      <c r="BA5" s="106" t="s">
        <v>14</v>
      </c>
    </row>
    <row r="6" spans="2:54" ht="20.25" customHeight="1" x14ac:dyDescent="0.25">
      <c r="B6" s="28" t="s">
        <v>18</v>
      </c>
      <c r="C6" s="17" t="s">
        <v>19</v>
      </c>
      <c r="D6" s="18">
        <v>2020</v>
      </c>
      <c r="E6" s="19" t="s">
        <v>15</v>
      </c>
      <c r="F6" s="20">
        <v>6.4237979999999997</v>
      </c>
      <c r="G6" s="20">
        <v>5.7507179999999991</v>
      </c>
      <c r="H6" s="20">
        <v>4.7088689999999991</v>
      </c>
      <c r="I6" s="21">
        <v>3.2440590000000005</v>
      </c>
      <c r="J6" s="20">
        <v>1.35246</v>
      </c>
      <c r="K6" s="20">
        <v>0.8</v>
      </c>
      <c r="L6" s="20">
        <v>0.67</v>
      </c>
      <c r="M6" s="22">
        <v>0.69799999999999995</v>
      </c>
      <c r="N6" s="23">
        <v>2.1120000000000001</v>
      </c>
      <c r="O6" s="23">
        <v>3.4848910000000006</v>
      </c>
      <c r="P6" s="23">
        <v>4.0570000000000004</v>
      </c>
      <c r="Q6" s="24">
        <v>5.8289999999999997</v>
      </c>
      <c r="R6" s="25">
        <v>5.4829999999999997</v>
      </c>
      <c r="S6" s="22">
        <v>4.2279999999999998</v>
      </c>
      <c r="T6" s="22">
        <v>4.5490000000000004</v>
      </c>
      <c r="U6" s="26">
        <v>4.0110000000000001</v>
      </c>
      <c r="V6" s="22">
        <v>1.7250000000000001</v>
      </c>
      <c r="W6" s="22">
        <v>0.78900000000000003</v>
      </c>
      <c r="X6" s="22">
        <v>0.68549699999999991</v>
      </c>
      <c r="Y6" s="22">
        <v>0.67033399999999999</v>
      </c>
      <c r="Z6" s="23">
        <v>1.773423</v>
      </c>
      <c r="AA6" s="23">
        <v>3.7082919999999997</v>
      </c>
      <c r="AB6" s="23">
        <v>5.2253509999999999</v>
      </c>
      <c r="AC6" s="27">
        <v>5.9270399999999999</v>
      </c>
      <c r="AD6" s="25">
        <v>5.9721500000000001</v>
      </c>
      <c r="AE6" s="22">
        <v>5.4070680000000007</v>
      </c>
      <c r="AF6" s="22">
        <v>4.9418010000000008</v>
      </c>
      <c r="AG6" s="26">
        <v>3.068813</v>
      </c>
      <c r="AH6" s="22">
        <v>0.81026799999999999</v>
      </c>
      <c r="AI6" s="22">
        <v>0.77579900000000002</v>
      </c>
      <c r="AJ6" s="22">
        <v>0.77252300000000007</v>
      </c>
      <c r="AK6" s="22">
        <v>0.78469299999999997</v>
      </c>
      <c r="AL6" s="23">
        <v>0.88733700000000004</v>
      </c>
      <c r="AM6" s="23">
        <v>3.7044740000000003</v>
      </c>
      <c r="AN6" s="23">
        <v>4.7896580000000002</v>
      </c>
      <c r="AO6" s="24">
        <v>5.9283349999999997</v>
      </c>
      <c r="AP6" s="25">
        <v>7.0048199999999996</v>
      </c>
      <c r="AQ6" s="27">
        <v>5.5262460000000004</v>
      </c>
      <c r="AR6" s="27">
        <v>4.5149359999999996</v>
      </c>
      <c r="AS6" s="27">
        <v>2.875699</v>
      </c>
      <c r="AT6" s="27">
        <v>1.504175</v>
      </c>
      <c r="AU6" s="27">
        <v>0.84911999999999999</v>
      </c>
      <c r="AV6" s="27">
        <v>0.74248999999999998</v>
      </c>
      <c r="AW6" s="27">
        <v>0.44011599999999995</v>
      </c>
      <c r="AX6" s="27">
        <v>0.79006699999999996</v>
      </c>
      <c r="AY6" s="27">
        <v>2.8638919999999999</v>
      </c>
      <c r="AZ6" s="27">
        <v>4.1860349999999995</v>
      </c>
      <c r="BA6" s="27">
        <v>5.2942590000000003</v>
      </c>
      <c r="BB6" s="364" t="s">
        <v>18</v>
      </c>
    </row>
    <row r="7" spans="2:54" ht="20.25" customHeight="1" x14ac:dyDescent="0.25">
      <c r="B7" s="28" t="s">
        <v>16</v>
      </c>
      <c r="C7" s="17" t="s">
        <v>17</v>
      </c>
      <c r="D7" s="29">
        <v>2020</v>
      </c>
      <c r="E7" s="30" t="s">
        <v>15</v>
      </c>
      <c r="F7" s="31">
        <v>11.729123000000001</v>
      </c>
      <c r="G7" s="31">
        <v>12.816829</v>
      </c>
      <c r="H7" s="31">
        <v>10.061741000000003</v>
      </c>
      <c r="I7" s="31">
        <v>6.8261039999999999</v>
      </c>
      <c r="J7" s="31">
        <v>2.2522030000000002</v>
      </c>
      <c r="K7" s="32">
        <v>0.68300000000000005</v>
      </c>
      <c r="L7" s="31">
        <v>2.2149999999999999</v>
      </c>
      <c r="M7" s="31">
        <v>0.73499999999999999</v>
      </c>
      <c r="N7" s="23">
        <v>2.9590000000000001</v>
      </c>
      <c r="O7" s="23">
        <v>5.830214999999999</v>
      </c>
      <c r="P7" s="23">
        <v>7.3890000000000002</v>
      </c>
      <c r="Q7" s="33">
        <v>10.253</v>
      </c>
      <c r="R7" s="34">
        <v>9.6859999999999999</v>
      </c>
      <c r="S7" s="31">
        <v>7.5880000000000001</v>
      </c>
      <c r="T7" s="32">
        <v>8.0259999999999998</v>
      </c>
      <c r="U7" s="31">
        <v>6.149</v>
      </c>
      <c r="V7" s="32">
        <v>2.661</v>
      </c>
      <c r="W7" s="32">
        <v>0.61299999999999999</v>
      </c>
      <c r="X7" s="32">
        <v>0.76700000000000002</v>
      </c>
      <c r="Y7" s="32">
        <v>0.752</v>
      </c>
      <c r="Z7" s="24">
        <v>2.0082390000000001</v>
      </c>
      <c r="AA7" s="24">
        <v>5.5129999999999999</v>
      </c>
      <c r="AB7" s="24">
        <v>7.754359</v>
      </c>
      <c r="AC7" s="35">
        <v>9.27318</v>
      </c>
      <c r="AD7" s="34">
        <v>8.9622679999999999</v>
      </c>
      <c r="AE7" s="31">
        <v>8.4279740000000007</v>
      </c>
      <c r="AF7" s="32">
        <v>7.6078390000000002</v>
      </c>
      <c r="AG7" s="31">
        <v>5.0622579999999999</v>
      </c>
      <c r="AH7" s="32">
        <v>0.85702099999999992</v>
      </c>
      <c r="AI7" s="32">
        <v>0.92100000000000004</v>
      </c>
      <c r="AJ7" s="32">
        <v>0.745</v>
      </c>
      <c r="AK7" s="32">
        <v>0.73483600000000004</v>
      </c>
      <c r="AL7" s="24">
        <v>0.873</v>
      </c>
      <c r="AM7" s="24">
        <v>6.1580000000000004</v>
      </c>
      <c r="AN7" s="24">
        <v>8.7390000000000008</v>
      </c>
      <c r="AO7" s="33">
        <v>9.4510000000000005</v>
      </c>
      <c r="AP7" s="34">
        <v>11.049016</v>
      </c>
      <c r="AQ7" s="35">
        <v>8.7745999999999995</v>
      </c>
      <c r="AR7" s="35">
        <v>7.3967369999999999</v>
      </c>
      <c r="AS7" s="35">
        <v>18.169311</v>
      </c>
      <c r="AT7" s="35">
        <v>1.816087</v>
      </c>
      <c r="AU7" s="35">
        <v>0.55326599999999992</v>
      </c>
      <c r="AV7" s="35">
        <v>0.68272700000000008</v>
      </c>
      <c r="AW7" s="35">
        <v>0.79294500000000001</v>
      </c>
      <c r="AX7" s="35">
        <v>0.83601099999999995</v>
      </c>
      <c r="AY7" s="35">
        <v>4.9059999999999997</v>
      </c>
      <c r="AZ7" s="35">
        <v>7.0460820000000002</v>
      </c>
      <c r="BA7" s="35">
        <v>8.4904709999999994</v>
      </c>
      <c r="BB7" s="364" t="s">
        <v>16</v>
      </c>
    </row>
    <row r="8" spans="2:54" ht="27" customHeight="1" x14ac:dyDescent="0.25">
      <c r="B8" s="213" t="s">
        <v>88</v>
      </c>
      <c r="C8" s="214" t="s">
        <v>89</v>
      </c>
      <c r="D8" s="29">
        <v>2021</v>
      </c>
      <c r="E8" s="30" t="s">
        <v>15</v>
      </c>
      <c r="F8" s="31" t="s">
        <v>90</v>
      </c>
      <c r="G8" s="31" t="s">
        <v>90</v>
      </c>
      <c r="H8" s="31" t="s">
        <v>90</v>
      </c>
      <c r="I8" s="31" t="s">
        <v>90</v>
      </c>
      <c r="J8" s="31" t="s">
        <v>90</v>
      </c>
      <c r="K8" s="31" t="s">
        <v>90</v>
      </c>
      <c r="L8" s="31" t="s">
        <v>90</v>
      </c>
      <c r="M8" s="31" t="s">
        <v>90</v>
      </c>
      <c r="N8" s="31" t="s">
        <v>90</v>
      </c>
      <c r="O8" s="23">
        <v>30.721299999999999</v>
      </c>
      <c r="P8" s="23" t="s">
        <v>90</v>
      </c>
      <c r="Q8" s="33" t="s">
        <v>90</v>
      </c>
      <c r="R8" s="34" t="s">
        <v>90</v>
      </c>
      <c r="S8" s="31" t="s">
        <v>90</v>
      </c>
      <c r="T8" s="31" t="s">
        <v>90</v>
      </c>
      <c r="U8" s="31">
        <v>5.5396000000000001</v>
      </c>
      <c r="V8" s="31" t="s">
        <v>90</v>
      </c>
      <c r="W8" s="31" t="s">
        <v>90</v>
      </c>
      <c r="X8" s="31" t="s">
        <v>90</v>
      </c>
      <c r="Y8" s="31" t="s">
        <v>90</v>
      </c>
      <c r="Z8" s="31" t="s">
        <v>90</v>
      </c>
      <c r="AA8" s="24">
        <v>37.465800000000002</v>
      </c>
      <c r="AB8" s="24">
        <v>19.202200000000001</v>
      </c>
      <c r="AC8" s="35" t="s">
        <v>90</v>
      </c>
      <c r="AD8" s="34" t="s">
        <v>90</v>
      </c>
      <c r="AE8" s="31" t="s">
        <v>90</v>
      </c>
      <c r="AF8" s="31" t="s">
        <v>90</v>
      </c>
      <c r="AG8" s="31">
        <v>26.363299999999999</v>
      </c>
      <c r="AH8" s="31" t="s">
        <v>90</v>
      </c>
      <c r="AI8" s="31" t="s">
        <v>90</v>
      </c>
      <c r="AJ8" s="31" t="s">
        <v>90</v>
      </c>
      <c r="AK8" s="31" t="s">
        <v>90</v>
      </c>
      <c r="AL8" s="31" t="s">
        <v>90</v>
      </c>
      <c r="AM8" s="24">
        <v>40.404600000000002</v>
      </c>
      <c r="AN8" s="24">
        <v>21.153099999999998</v>
      </c>
      <c r="AO8" s="33" t="s">
        <v>90</v>
      </c>
      <c r="AP8" s="34" t="s">
        <v>90</v>
      </c>
      <c r="AQ8" s="31" t="s">
        <v>90</v>
      </c>
      <c r="AR8" s="31" t="s">
        <v>90</v>
      </c>
      <c r="AS8" s="35">
        <v>27.398599999999998</v>
      </c>
      <c r="AT8" s="31" t="s">
        <v>90</v>
      </c>
      <c r="AU8" s="31" t="s">
        <v>90</v>
      </c>
      <c r="AV8" s="31" t="s">
        <v>90</v>
      </c>
      <c r="AW8" s="31" t="s">
        <v>90</v>
      </c>
      <c r="AX8" s="31" t="s">
        <v>90</v>
      </c>
      <c r="AY8" s="35">
        <v>30.075500000000002</v>
      </c>
      <c r="AZ8" s="35">
        <v>2.2658</v>
      </c>
      <c r="BA8" s="35" t="s">
        <v>90</v>
      </c>
      <c r="BB8" s="365" t="s">
        <v>88</v>
      </c>
    </row>
    <row r="9" spans="2:54" ht="20.25" customHeight="1" x14ac:dyDescent="0.25">
      <c r="B9" s="213" t="s">
        <v>92</v>
      </c>
      <c r="C9" s="214" t="s">
        <v>91</v>
      </c>
      <c r="D9" s="29">
        <v>2022</v>
      </c>
      <c r="E9" s="30" t="s">
        <v>15</v>
      </c>
      <c r="F9" s="31" t="s">
        <v>90</v>
      </c>
      <c r="G9" s="31" t="s">
        <v>90</v>
      </c>
      <c r="H9" s="31" t="s">
        <v>90</v>
      </c>
      <c r="I9" s="31" t="s">
        <v>90</v>
      </c>
      <c r="J9" s="31" t="s">
        <v>90</v>
      </c>
      <c r="K9" s="31" t="s">
        <v>90</v>
      </c>
      <c r="L9" s="31" t="s">
        <v>90</v>
      </c>
      <c r="M9" s="31" t="s">
        <v>90</v>
      </c>
      <c r="N9" s="31" t="s">
        <v>90</v>
      </c>
      <c r="O9" s="31" t="s">
        <v>90</v>
      </c>
      <c r="P9" s="31" t="s">
        <v>90</v>
      </c>
      <c r="Q9" s="285" t="s">
        <v>90</v>
      </c>
      <c r="R9" s="284" t="s">
        <v>90</v>
      </c>
      <c r="S9" s="31" t="s">
        <v>90</v>
      </c>
      <c r="T9" s="31" t="s">
        <v>90</v>
      </c>
      <c r="U9" s="31" t="s">
        <v>90</v>
      </c>
      <c r="V9" s="31" t="s">
        <v>90</v>
      </c>
      <c r="W9" s="31" t="s">
        <v>90</v>
      </c>
      <c r="X9" s="31" t="s">
        <v>90</v>
      </c>
      <c r="Y9" s="31" t="s">
        <v>90</v>
      </c>
      <c r="Z9" s="31" t="s">
        <v>90</v>
      </c>
      <c r="AA9" s="31" t="s">
        <v>90</v>
      </c>
      <c r="AB9" s="31">
        <v>0.62800500000000004</v>
      </c>
      <c r="AC9" s="349">
        <v>0.95806400000000003</v>
      </c>
      <c r="AD9" s="348">
        <v>0.9984940000000001</v>
      </c>
      <c r="AE9" s="31">
        <v>0.85016499999999995</v>
      </c>
      <c r="AF9" s="31">
        <v>0.70401400000000003</v>
      </c>
      <c r="AG9" s="31">
        <v>0.21221600000000002</v>
      </c>
      <c r="AH9" s="31" t="s">
        <v>90</v>
      </c>
      <c r="AI9" s="31" t="s">
        <v>90</v>
      </c>
      <c r="AJ9" s="31" t="s">
        <v>90</v>
      </c>
      <c r="AK9" s="31" t="s">
        <v>90</v>
      </c>
      <c r="AL9" s="31" t="s">
        <v>90</v>
      </c>
      <c r="AM9" s="31">
        <v>0.39410999999999996</v>
      </c>
      <c r="AN9" s="31">
        <v>0.67831899999999989</v>
      </c>
      <c r="AO9" s="349">
        <v>1.1553849999999999</v>
      </c>
      <c r="AP9" s="348">
        <v>1.115718</v>
      </c>
      <c r="AQ9" s="31">
        <v>0.84406100000000006</v>
      </c>
      <c r="AR9" s="31">
        <v>0.64135400000000009</v>
      </c>
      <c r="AS9" s="31">
        <v>0.146261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0.25767000000000001</v>
      </c>
      <c r="AZ9" s="31">
        <v>0.54706200000000005</v>
      </c>
      <c r="BA9" s="31">
        <v>1.043817</v>
      </c>
      <c r="BB9" s="365" t="s">
        <v>92</v>
      </c>
    </row>
    <row r="10" spans="2:54" ht="20.25" customHeight="1" x14ac:dyDescent="0.25">
      <c r="B10" s="213" t="s">
        <v>18</v>
      </c>
      <c r="C10" s="214" t="s">
        <v>93</v>
      </c>
      <c r="D10" s="29">
        <v>2020</v>
      </c>
      <c r="E10" s="30" t="s">
        <v>15</v>
      </c>
      <c r="F10" s="31">
        <v>4.402793</v>
      </c>
      <c r="G10" s="31">
        <v>4.6277379999999999</v>
      </c>
      <c r="H10" s="31">
        <v>3.5880759999999996</v>
      </c>
      <c r="I10" s="31">
        <v>2.244583</v>
      </c>
      <c r="J10" s="31" t="s">
        <v>90</v>
      </c>
      <c r="K10" s="31" t="s">
        <v>90</v>
      </c>
      <c r="L10" s="31" t="s">
        <v>90</v>
      </c>
      <c r="M10" s="31" t="s">
        <v>90</v>
      </c>
      <c r="N10" s="31" t="s">
        <v>90</v>
      </c>
      <c r="O10" s="31">
        <v>3.5691160000000002</v>
      </c>
      <c r="P10" s="31">
        <v>4.2855980000000002</v>
      </c>
      <c r="Q10" s="349">
        <v>6.1308980000000002</v>
      </c>
      <c r="R10" s="348">
        <v>5.7870550000000005</v>
      </c>
      <c r="S10" s="31">
        <v>6.8321849999999991</v>
      </c>
      <c r="T10" s="31">
        <v>6.8898859999999997</v>
      </c>
      <c r="U10" s="31">
        <v>4.5727429999999991</v>
      </c>
      <c r="V10" s="31">
        <v>0</v>
      </c>
      <c r="W10" s="31">
        <v>0</v>
      </c>
      <c r="X10" s="31">
        <v>0</v>
      </c>
      <c r="Y10" s="31">
        <v>0</v>
      </c>
      <c r="Z10" s="31">
        <v>0</v>
      </c>
      <c r="AA10" s="31">
        <v>2.3183129999999994</v>
      </c>
      <c r="AB10" s="31">
        <v>8.8432499999999976</v>
      </c>
      <c r="AC10" s="349">
        <v>11.357013999999999</v>
      </c>
      <c r="AD10" s="348">
        <v>10.677102999999995</v>
      </c>
      <c r="AE10" s="31">
        <v>9.401094999999998</v>
      </c>
      <c r="AF10" s="31">
        <v>8.9117960000000007</v>
      </c>
      <c r="AG10" s="31">
        <v>5.5293599999999996</v>
      </c>
      <c r="AH10" s="31">
        <v>0</v>
      </c>
      <c r="AI10" s="31">
        <v>0</v>
      </c>
      <c r="AJ10" s="31">
        <v>0</v>
      </c>
      <c r="AK10" s="31">
        <v>0</v>
      </c>
      <c r="AL10" s="31">
        <v>0</v>
      </c>
      <c r="AM10" s="31">
        <v>7.8090459999999995</v>
      </c>
      <c r="AN10" s="31">
        <v>9.4408260000000013</v>
      </c>
      <c r="AO10" s="349">
        <v>12.821441999999999</v>
      </c>
      <c r="AP10" s="348">
        <v>16.943525999999999</v>
      </c>
      <c r="AQ10" s="31">
        <v>13.458647000000001</v>
      </c>
      <c r="AR10" s="31">
        <v>11.272446000000002</v>
      </c>
      <c r="AS10" s="31">
        <v>8.1167040000000004</v>
      </c>
      <c r="AT10" s="31">
        <v>0</v>
      </c>
      <c r="AU10" s="31">
        <v>0</v>
      </c>
      <c r="AV10" s="31">
        <v>0</v>
      </c>
      <c r="AW10" s="31">
        <v>0</v>
      </c>
      <c r="AX10" s="31">
        <v>0</v>
      </c>
      <c r="AY10" s="31">
        <v>8.871618999999999</v>
      </c>
      <c r="AZ10" s="31">
        <v>11.809319999999998</v>
      </c>
      <c r="BA10" s="31">
        <v>13.688716000000001</v>
      </c>
      <c r="BB10" s="365" t="s">
        <v>18</v>
      </c>
    </row>
    <row r="11" spans="2:54" ht="20.25" customHeight="1" x14ac:dyDescent="0.25">
      <c r="B11" s="213" t="s">
        <v>92</v>
      </c>
      <c r="C11" s="214" t="s">
        <v>94</v>
      </c>
      <c r="D11" s="29">
        <v>2024</v>
      </c>
      <c r="E11" s="30" t="s">
        <v>15</v>
      </c>
      <c r="F11" s="31" t="s">
        <v>90</v>
      </c>
      <c r="G11" s="31" t="s">
        <v>90</v>
      </c>
      <c r="H11" s="31" t="s">
        <v>90</v>
      </c>
      <c r="I11" s="31" t="s">
        <v>90</v>
      </c>
      <c r="J11" s="31" t="s">
        <v>90</v>
      </c>
      <c r="K11" s="31" t="s">
        <v>90</v>
      </c>
      <c r="L11" s="31" t="s">
        <v>90</v>
      </c>
      <c r="M11" s="31" t="s">
        <v>90</v>
      </c>
      <c r="N11" s="31" t="s">
        <v>90</v>
      </c>
      <c r="O11" s="31" t="s">
        <v>90</v>
      </c>
      <c r="P11" s="31" t="s">
        <v>90</v>
      </c>
      <c r="Q11" s="285" t="s">
        <v>90</v>
      </c>
      <c r="R11" s="31" t="s">
        <v>90</v>
      </c>
      <c r="S11" s="31" t="s">
        <v>90</v>
      </c>
      <c r="T11" s="31" t="s">
        <v>90</v>
      </c>
      <c r="U11" s="31" t="s">
        <v>90</v>
      </c>
      <c r="V11" s="31" t="s">
        <v>90</v>
      </c>
      <c r="W11" s="31" t="s">
        <v>90</v>
      </c>
      <c r="X11" s="31" t="s">
        <v>90</v>
      </c>
      <c r="Y11" s="31" t="s">
        <v>90</v>
      </c>
      <c r="Z11" s="31" t="s">
        <v>90</v>
      </c>
      <c r="AA11" s="31" t="s">
        <v>90</v>
      </c>
      <c r="AB11" s="31" t="s">
        <v>90</v>
      </c>
      <c r="AC11" s="285" t="s">
        <v>90</v>
      </c>
      <c r="AD11" s="31" t="s">
        <v>90</v>
      </c>
      <c r="AE11" s="31" t="s">
        <v>90</v>
      </c>
      <c r="AF11" s="31" t="s">
        <v>90</v>
      </c>
      <c r="AG11" s="31" t="s">
        <v>90</v>
      </c>
      <c r="AH11" s="31" t="s">
        <v>90</v>
      </c>
      <c r="AI11" s="31" t="s">
        <v>90</v>
      </c>
      <c r="AJ11" s="31" t="s">
        <v>90</v>
      </c>
      <c r="AK11" s="31" t="s">
        <v>90</v>
      </c>
      <c r="AL11" s="31" t="s">
        <v>90</v>
      </c>
      <c r="AM11" s="31" t="s">
        <v>90</v>
      </c>
      <c r="AN11" s="31" t="s">
        <v>90</v>
      </c>
      <c r="AO11" s="285" t="s">
        <v>90</v>
      </c>
      <c r="AP11" s="284"/>
      <c r="AQ11" s="35"/>
      <c r="AR11" s="35"/>
      <c r="AS11" s="35">
        <v>14.536099999999999</v>
      </c>
      <c r="AT11" s="35"/>
      <c r="AU11" s="35"/>
      <c r="AV11" s="35"/>
      <c r="AW11" s="35"/>
      <c r="AX11" s="35"/>
      <c r="AY11" s="35">
        <v>18.421600000000002</v>
      </c>
      <c r="AZ11" s="35">
        <v>32.148200000000003</v>
      </c>
      <c r="BA11" s="33">
        <v>10.1576</v>
      </c>
      <c r="BB11" s="365" t="s">
        <v>92</v>
      </c>
    </row>
    <row r="12" spans="2:54" ht="20.25" customHeight="1" x14ac:dyDescent="0.25">
      <c r="B12" s="213" t="s">
        <v>92</v>
      </c>
      <c r="C12" s="214" t="s">
        <v>95</v>
      </c>
      <c r="D12" s="29">
        <v>2023</v>
      </c>
      <c r="E12" s="30" t="s">
        <v>15</v>
      </c>
      <c r="F12" s="31" t="s">
        <v>90</v>
      </c>
      <c r="G12" s="31" t="s">
        <v>90</v>
      </c>
      <c r="H12" s="31" t="s">
        <v>90</v>
      </c>
      <c r="I12" s="31" t="s">
        <v>90</v>
      </c>
      <c r="J12" s="31" t="s">
        <v>90</v>
      </c>
      <c r="K12" s="31" t="s">
        <v>90</v>
      </c>
      <c r="L12" s="31" t="s">
        <v>90</v>
      </c>
      <c r="M12" s="31" t="s">
        <v>90</v>
      </c>
      <c r="N12" s="31" t="s">
        <v>90</v>
      </c>
      <c r="O12" s="31" t="s">
        <v>90</v>
      </c>
      <c r="P12" s="31" t="s">
        <v>90</v>
      </c>
      <c r="Q12" s="285" t="s">
        <v>90</v>
      </c>
      <c r="R12" s="31" t="s">
        <v>90</v>
      </c>
      <c r="S12" s="31" t="s">
        <v>90</v>
      </c>
      <c r="T12" s="31" t="s">
        <v>90</v>
      </c>
      <c r="U12" s="31" t="s">
        <v>90</v>
      </c>
      <c r="V12" s="31" t="s">
        <v>90</v>
      </c>
      <c r="W12" s="31" t="s">
        <v>90</v>
      </c>
      <c r="X12" s="31" t="s">
        <v>90</v>
      </c>
      <c r="Y12" s="31" t="s">
        <v>90</v>
      </c>
      <c r="Z12" s="31" t="s">
        <v>90</v>
      </c>
      <c r="AA12" s="31" t="s">
        <v>90</v>
      </c>
      <c r="AB12" s="31" t="s">
        <v>90</v>
      </c>
      <c r="AC12" s="285" t="s">
        <v>90</v>
      </c>
      <c r="AD12" s="31" t="s">
        <v>90</v>
      </c>
      <c r="AE12" s="31" t="s">
        <v>90</v>
      </c>
      <c r="AF12" s="31" t="s">
        <v>90</v>
      </c>
      <c r="AG12" s="31" t="s">
        <v>90</v>
      </c>
      <c r="AH12" s="31" t="s">
        <v>90</v>
      </c>
      <c r="AI12" s="31" t="s">
        <v>90</v>
      </c>
      <c r="AJ12" s="31" t="s">
        <v>90</v>
      </c>
      <c r="AK12" s="31" t="s">
        <v>90</v>
      </c>
      <c r="AL12" s="31" t="s">
        <v>90</v>
      </c>
      <c r="AM12" s="24">
        <v>15.449</v>
      </c>
      <c r="AN12" s="24">
        <v>19.336400000000001</v>
      </c>
      <c r="AO12" s="285">
        <v>24.1828</v>
      </c>
      <c r="AP12" s="284">
        <v>27.9529</v>
      </c>
      <c r="AQ12" s="35">
        <v>22.464500000000001</v>
      </c>
      <c r="AR12" s="35">
        <v>18.545100000000001</v>
      </c>
      <c r="AS12" s="35">
        <v>12.1877</v>
      </c>
      <c r="AT12" s="31" t="s">
        <v>90</v>
      </c>
      <c r="AU12" s="31" t="s">
        <v>90</v>
      </c>
      <c r="AV12" s="31" t="s">
        <v>90</v>
      </c>
      <c r="AW12" s="31" t="s">
        <v>90</v>
      </c>
      <c r="AX12" s="31" t="s">
        <v>90</v>
      </c>
      <c r="AY12" s="35">
        <v>13.0159</v>
      </c>
      <c r="AZ12" s="35">
        <v>18.3292</v>
      </c>
      <c r="BA12" s="33">
        <f>22.2607</f>
        <v>22.2607</v>
      </c>
      <c r="BB12" s="365" t="s">
        <v>92</v>
      </c>
    </row>
    <row r="13" spans="2:54" ht="20.25" customHeight="1" x14ac:dyDescent="0.25">
      <c r="B13" s="36"/>
      <c r="C13" s="37" t="s">
        <v>20</v>
      </c>
      <c r="D13" s="38"/>
      <c r="E13" s="39" t="s">
        <v>15</v>
      </c>
      <c r="F13" s="40">
        <f>SUM(F6:F12)</f>
        <v>22.555713999999998</v>
      </c>
      <c r="G13" s="40">
        <f t="shared" ref="G13:P13" si="0">SUM(G6:G12)</f>
        <v>23.195284999999998</v>
      </c>
      <c r="H13" s="40">
        <f t="shared" si="0"/>
        <v>18.358686000000002</v>
      </c>
      <c r="I13" s="40">
        <f t="shared" si="0"/>
        <v>12.314746000000001</v>
      </c>
      <c r="J13" s="40">
        <f t="shared" si="0"/>
        <v>3.6046630000000004</v>
      </c>
      <c r="K13" s="40">
        <f t="shared" si="0"/>
        <v>1.4830000000000001</v>
      </c>
      <c r="L13" s="40">
        <f t="shared" si="0"/>
        <v>2.8849999999999998</v>
      </c>
      <c r="M13" s="40">
        <f t="shared" si="0"/>
        <v>1.4329999999999998</v>
      </c>
      <c r="N13" s="40">
        <f t="shared" si="0"/>
        <v>5.0709999999999997</v>
      </c>
      <c r="O13" s="40">
        <f t="shared" si="0"/>
        <v>43.605522000000001</v>
      </c>
      <c r="P13" s="40">
        <f t="shared" si="0"/>
        <v>15.731598000000002</v>
      </c>
      <c r="Q13" s="286">
        <f>SUM(Q6:Q12)</f>
        <v>22.212898000000003</v>
      </c>
      <c r="R13" s="40">
        <f>SUM(R6:R12)</f>
        <v>20.956054999999999</v>
      </c>
      <c r="S13" s="40">
        <f t="shared" ref="S13" si="1">SUM(S6:S12)</f>
        <v>18.648184999999998</v>
      </c>
      <c r="T13" s="40">
        <f t="shared" ref="T13" si="2">SUM(T6:T12)</f>
        <v>19.464886</v>
      </c>
      <c r="U13" s="40">
        <f t="shared" ref="U13" si="3">SUM(U6:U12)</f>
        <v>20.272342999999999</v>
      </c>
      <c r="V13" s="40">
        <f t="shared" ref="V13" si="4">SUM(V6:V12)</f>
        <v>4.3860000000000001</v>
      </c>
      <c r="W13" s="40">
        <f t="shared" ref="W13" si="5">SUM(W6:W12)</f>
        <v>1.4020000000000001</v>
      </c>
      <c r="X13" s="40">
        <f t="shared" ref="X13" si="6">SUM(X6:X12)</f>
        <v>1.4524969999999999</v>
      </c>
      <c r="Y13" s="40">
        <f t="shared" ref="Y13" si="7">SUM(Y6:Y12)</f>
        <v>1.422334</v>
      </c>
      <c r="Z13" s="40">
        <f t="shared" ref="Z13" si="8">SUM(Z6:Z12)</f>
        <v>3.7816619999999999</v>
      </c>
      <c r="AA13" s="40">
        <f t="shared" ref="AA13" si="9">SUM(AA6:AA12)</f>
        <v>49.005404999999996</v>
      </c>
      <c r="AB13" s="40">
        <f t="shared" ref="AB13" si="10">SUM(AB6:AB12)</f>
        <v>41.653165000000001</v>
      </c>
      <c r="AC13" s="286">
        <f>SUM(AC6:AC12)</f>
        <v>27.515297999999998</v>
      </c>
      <c r="AD13" s="40">
        <f>SUM(AD6:AD12)</f>
        <v>26.610014999999997</v>
      </c>
      <c r="AE13" s="40">
        <f t="shared" ref="AE13" si="11">SUM(AE6:AE12)</f>
        <v>24.086302</v>
      </c>
      <c r="AF13" s="40">
        <f t="shared" ref="AF13" si="12">SUM(AF6:AF12)</f>
        <v>22.16545</v>
      </c>
      <c r="AG13" s="40">
        <f t="shared" ref="AG13" si="13">SUM(AG6:AG12)</f>
        <v>40.235946999999996</v>
      </c>
      <c r="AH13" s="40">
        <f t="shared" ref="AH13" si="14">SUM(AH6:AH12)</f>
        <v>1.6672889999999998</v>
      </c>
      <c r="AI13" s="40">
        <f t="shared" ref="AI13" si="15">SUM(AI6:AI12)</f>
        <v>1.6967989999999999</v>
      </c>
      <c r="AJ13" s="40">
        <f t="shared" ref="AJ13" si="16">SUM(AJ6:AJ12)</f>
        <v>1.5175230000000002</v>
      </c>
      <c r="AK13" s="40">
        <f t="shared" ref="AK13" si="17">SUM(AK6:AK12)</f>
        <v>1.5195289999999999</v>
      </c>
      <c r="AL13" s="40">
        <f t="shared" ref="AL13" si="18">SUM(AL6:AL12)</f>
        <v>1.760337</v>
      </c>
      <c r="AM13" s="40">
        <f t="shared" ref="AM13" si="19">SUM(AM6:AM12)</f>
        <v>73.919229999999999</v>
      </c>
      <c r="AN13" s="40">
        <f t="shared" ref="AN13" si="20">SUM(AN6:AN12)</f>
        <v>64.137303000000003</v>
      </c>
      <c r="AO13" s="286">
        <f>SUM(AO6:AO12)</f>
        <v>53.538961999999998</v>
      </c>
      <c r="AP13" s="40">
        <f>SUM(AP6:AP12)</f>
        <v>64.065979999999996</v>
      </c>
      <c r="AQ13" s="40">
        <f t="shared" ref="AQ13" si="21">SUM(AQ6:AQ12)</f>
        <v>51.068054000000004</v>
      </c>
      <c r="AR13" s="40">
        <f t="shared" ref="AR13" si="22">SUM(AR6:AR12)</f>
        <v>42.370573000000007</v>
      </c>
      <c r="AS13" s="40">
        <f t="shared" ref="AS13" si="23">SUM(AS6:AS12)</f>
        <v>83.430374999999998</v>
      </c>
      <c r="AT13" s="40">
        <f t="shared" ref="AT13" si="24">SUM(AT6:AT12)</f>
        <v>3.320262</v>
      </c>
      <c r="AU13" s="40">
        <f t="shared" ref="AU13" si="25">SUM(AU6:AU12)</f>
        <v>1.4023859999999999</v>
      </c>
      <c r="AV13" s="40">
        <f t="shared" ref="AV13" si="26">SUM(AV6:AV12)</f>
        <v>1.425217</v>
      </c>
      <c r="AW13" s="40">
        <f t="shared" ref="AW13" si="27">SUM(AW6:AW12)</f>
        <v>1.233061</v>
      </c>
      <c r="AX13" s="40">
        <f t="shared" ref="AX13" si="28">SUM(AX6:AX12)</f>
        <v>1.6260779999999999</v>
      </c>
      <c r="AY13" s="40">
        <f t="shared" ref="AY13" si="29">SUM(AY6:AY12)</f>
        <v>78.412181000000004</v>
      </c>
      <c r="AZ13" s="40">
        <f t="shared" ref="AZ13" si="30">SUM(AZ6:AZ12)</f>
        <v>76.331699</v>
      </c>
      <c r="BA13" s="40">
        <f>SUM(BA6:BA12)</f>
        <v>60.935563000000002</v>
      </c>
      <c r="BB13" s="366"/>
    </row>
    <row r="14" spans="2:54" x14ac:dyDescent="0.25">
      <c r="I14" s="13"/>
      <c r="J14" s="13"/>
      <c r="K14" s="44"/>
      <c r="L14" s="12"/>
      <c r="M14" s="13"/>
      <c r="N14" s="45"/>
      <c r="O14" s="46"/>
      <c r="U14" s="13"/>
      <c r="V14" s="13"/>
      <c r="W14" s="44"/>
      <c r="X14" s="12"/>
      <c r="Y14" s="13"/>
      <c r="Z14" s="45"/>
      <c r="AA14" s="46"/>
      <c r="AG14" s="13"/>
      <c r="AH14" s="13"/>
      <c r="AI14" s="44"/>
      <c r="AJ14" s="12"/>
      <c r="AK14" s="13"/>
      <c r="AL14" s="45"/>
      <c r="AM14" s="46"/>
    </row>
    <row r="15" spans="2:54" ht="15.75" x14ac:dyDescent="0.25">
      <c r="C15"/>
      <c r="D15" s="419"/>
      <c r="E15" s="288" t="s">
        <v>16</v>
      </c>
      <c r="F15" s="13">
        <f>SUMIF($BB$6:$BB$12,$E15,F$6:F$12)</f>
        <v>11.729123000000001</v>
      </c>
      <c r="G15" s="13">
        <f t="shared" ref="G15:BA18" si="31">SUMIF($BB$6:$BB$12,$E15,G$6:G$12)</f>
        <v>12.816829</v>
      </c>
      <c r="H15" s="13">
        <f t="shared" si="31"/>
        <v>10.061741000000003</v>
      </c>
      <c r="I15" s="13">
        <f t="shared" si="31"/>
        <v>6.8261039999999999</v>
      </c>
      <c r="J15" s="13">
        <f t="shared" si="31"/>
        <v>2.2522030000000002</v>
      </c>
      <c r="K15" s="13">
        <f t="shared" si="31"/>
        <v>0.68300000000000005</v>
      </c>
      <c r="L15" s="13">
        <f t="shared" si="31"/>
        <v>2.2149999999999999</v>
      </c>
      <c r="M15" s="13">
        <f t="shared" si="31"/>
        <v>0.73499999999999999</v>
      </c>
      <c r="N15" s="13">
        <f t="shared" si="31"/>
        <v>2.9590000000000001</v>
      </c>
      <c r="O15" s="13">
        <f t="shared" si="31"/>
        <v>5.830214999999999</v>
      </c>
      <c r="P15" s="13">
        <f t="shared" si="31"/>
        <v>7.3890000000000002</v>
      </c>
      <c r="Q15" s="13">
        <f t="shared" si="31"/>
        <v>10.253</v>
      </c>
      <c r="R15" s="13">
        <f t="shared" si="31"/>
        <v>9.6859999999999999</v>
      </c>
      <c r="S15" s="13">
        <f t="shared" si="31"/>
        <v>7.5880000000000001</v>
      </c>
      <c r="T15" s="13">
        <f t="shared" si="31"/>
        <v>8.0259999999999998</v>
      </c>
      <c r="U15" s="13">
        <f t="shared" si="31"/>
        <v>6.149</v>
      </c>
      <c r="V15" s="13">
        <f t="shared" si="31"/>
        <v>2.661</v>
      </c>
      <c r="W15" s="13">
        <f t="shared" si="31"/>
        <v>0.61299999999999999</v>
      </c>
      <c r="X15" s="13">
        <f t="shared" si="31"/>
        <v>0.76700000000000002</v>
      </c>
      <c r="Y15" s="13">
        <f t="shared" si="31"/>
        <v>0.752</v>
      </c>
      <c r="Z15" s="13">
        <f t="shared" si="31"/>
        <v>2.0082390000000001</v>
      </c>
      <c r="AA15" s="13">
        <f t="shared" si="31"/>
        <v>5.5129999999999999</v>
      </c>
      <c r="AB15" s="13">
        <f t="shared" si="31"/>
        <v>7.754359</v>
      </c>
      <c r="AC15" s="13">
        <f t="shared" si="31"/>
        <v>9.27318</v>
      </c>
      <c r="AD15" s="13">
        <f t="shared" si="31"/>
        <v>8.9622679999999999</v>
      </c>
      <c r="AE15" s="13">
        <f t="shared" si="31"/>
        <v>8.4279740000000007</v>
      </c>
      <c r="AF15" s="13">
        <f t="shared" si="31"/>
        <v>7.6078390000000002</v>
      </c>
      <c r="AG15" s="13">
        <f t="shared" si="31"/>
        <v>5.0622579999999999</v>
      </c>
      <c r="AH15" s="13">
        <f t="shared" si="31"/>
        <v>0.85702099999999992</v>
      </c>
      <c r="AI15" s="13">
        <f t="shared" si="31"/>
        <v>0.92100000000000004</v>
      </c>
      <c r="AJ15" s="13">
        <f t="shared" si="31"/>
        <v>0.745</v>
      </c>
      <c r="AK15" s="13">
        <f t="shared" si="31"/>
        <v>0.73483600000000004</v>
      </c>
      <c r="AL15" s="13">
        <f t="shared" si="31"/>
        <v>0.873</v>
      </c>
      <c r="AM15" s="13">
        <f t="shared" si="31"/>
        <v>6.1580000000000004</v>
      </c>
      <c r="AN15" s="13">
        <f t="shared" si="31"/>
        <v>8.7390000000000008</v>
      </c>
      <c r="AO15" s="13">
        <f t="shared" si="31"/>
        <v>9.4510000000000005</v>
      </c>
      <c r="AP15" s="13">
        <f t="shared" si="31"/>
        <v>11.049016</v>
      </c>
      <c r="AQ15" s="13">
        <f t="shared" si="31"/>
        <v>8.7745999999999995</v>
      </c>
      <c r="AR15" s="13">
        <f t="shared" si="31"/>
        <v>7.3967369999999999</v>
      </c>
      <c r="AS15" s="13">
        <f t="shared" si="31"/>
        <v>18.169311</v>
      </c>
      <c r="AT15" s="13">
        <f t="shared" si="31"/>
        <v>1.816087</v>
      </c>
      <c r="AU15" s="13">
        <f t="shared" si="31"/>
        <v>0.55326599999999992</v>
      </c>
      <c r="AV15" s="13">
        <f t="shared" si="31"/>
        <v>0.68272700000000008</v>
      </c>
      <c r="AW15" s="13">
        <f t="shared" si="31"/>
        <v>0.79294500000000001</v>
      </c>
      <c r="AX15" s="13">
        <f t="shared" si="31"/>
        <v>0.83601099999999995</v>
      </c>
      <c r="AY15" s="13">
        <f t="shared" si="31"/>
        <v>4.9059999999999997</v>
      </c>
      <c r="AZ15" s="13">
        <f t="shared" si="31"/>
        <v>7.0460820000000002</v>
      </c>
      <c r="BA15" s="13">
        <f t="shared" si="31"/>
        <v>8.4904709999999994</v>
      </c>
      <c r="BB15" s="288" t="s">
        <v>16</v>
      </c>
    </row>
    <row r="16" spans="2:54" ht="15.75" x14ac:dyDescent="0.25">
      <c r="C16"/>
      <c r="D16" s="419"/>
      <c r="E16" s="288" t="s">
        <v>18</v>
      </c>
      <c r="F16" s="13">
        <f>SUMIF($BB$6:$BB$12,$E16,F$6:F$12)</f>
        <v>10.826591000000001</v>
      </c>
      <c r="G16" s="13">
        <f t="shared" si="31"/>
        <v>10.378456</v>
      </c>
      <c r="H16" s="13">
        <f t="shared" si="31"/>
        <v>8.2969449999999991</v>
      </c>
      <c r="I16" s="13">
        <f t="shared" si="31"/>
        <v>5.4886420000000005</v>
      </c>
      <c r="J16" s="13">
        <f t="shared" si="31"/>
        <v>1.35246</v>
      </c>
      <c r="K16" s="13">
        <f t="shared" si="31"/>
        <v>0.8</v>
      </c>
      <c r="L16" s="13">
        <f t="shared" si="31"/>
        <v>0.67</v>
      </c>
      <c r="M16" s="13">
        <f t="shared" si="31"/>
        <v>0.69799999999999995</v>
      </c>
      <c r="N16" s="13">
        <f t="shared" si="31"/>
        <v>2.1120000000000001</v>
      </c>
      <c r="O16" s="13">
        <f t="shared" si="31"/>
        <v>7.0540070000000004</v>
      </c>
      <c r="P16" s="13">
        <f t="shared" si="31"/>
        <v>8.3425980000000006</v>
      </c>
      <c r="Q16" s="13">
        <f t="shared" si="31"/>
        <v>11.959897999999999</v>
      </c>
      <c r="R16" s="13">
        <f t="shared" si="31"/>
        <v>11.270054999999999</v>
      </c>
      <c r="S16" s="13">
        <f t="shared" si="31"/>
        <v>11.060184999999999</v>
      </c>
      <c r="T16" s="13">
        <f t="shared" si="31"/>
        <v>11.438886</v>
      </c>
      <c r="U16" s="13">
        <f t="shared" si="31"/>
        <v>8.5837429999999983</v>
      </c>
      <c r="V16" s="13">
        <f t="shared" si="31"/>
        <v>1.7250000000000001</v>
      </c>
      <c r="W16" s="13">
        <f t="shared" si="31"/>
        <v>0.78900000000000003</v>
      </c>
      <c r="X16" s="13">
        <f t="shared" si="31"/>
        <v>0.68549699999999991</v>
      </c>
      <c r="Y16" s="13">
        <f t="shared" si="31"/>
        <v>0.67033399999999999</v>
      </c>
      <c r="Z16" s="13">
        <f t="shared" si="31"/>
        <v>1.773423</v>
      </c>
      <c r="AA16" s="13">
        <f t="shared" si="31"/>
        <v>6.0266049999999991</v>
      </c>
      <c r="AB16" s="13">
        <f t="shared" si="31"/>
        <v>14.068600999999997</v>
      </c>
      <c r="AC16" s="13">
        <f t="shared" si="31"/>
        <v>17.284053999999998</v>
      </c>
      <c r="AD16" s="13">
        <f t="shared" si="31"/>
        <v>16.649252999999995</v>
      </c>
      <c r="AE16" s="13">
        <f t="shared" si="31"/>
        <v>14.808162999999999</v>
      </c>
      <c r="AF16" s="13">
        <f t="shared" si="31"/>
        <v>13.853597000000001</v>
      </c>
      <c r="AG16" s="13">
        <f t="shared" si="31"/>
        <v>8.5981729999999992</v>
      </c>
      <c r="AH16" s="13">
        <f t="shared" si="31"/>
        <v>0.81026799999999999</v>
      </c>
      <c r="AI16" s="13">
        <f t="shared" si="31"/>
        <v>0.77579900000000002</v>
      </c>
      <c r="AJ16" s="13">
        <f t="shared" si="31"/>
        <v>0.77252300000000007</v>
      </c>
      <c r="AK16" s="13">
        <f t="shared" si="31"/>
        <v>0.78469299999999997</v>
      </c>
      <c r="AL16" s="13">
        <f t="shared" si="31"/>
        <v>0.88733700000000004</v>
      </c>
      <c r="AM16" s="13">
        <f t="shared" si="31"/>
        <v>11.51352</v>
      </c>
      <c r="AN16" s="13">
        <f t="shared" si="31"/>
        <v>14.230484000000001</v>
      </c>
      <c r="AO16" s="13">
        <f t="shared" si="31"/>
        <v>18.749776999999998</v>
      </c>
      <c r="AP16" s="13">
        <f t="shared" si="31"/>
        <v>23.948345999999997</v>
      </c>
      <c r="AQ16" s="13">
        <f t="shared" si="31"/>
        <v>18.984893</v>
      </c>
      <c r="AR16" s="13">
        <f t="shared" si="31"/>
        <v>15.787382000000001</v>
      </c>
      <c r="AS16" s="13">
        <f t="shared" si="31"/>
        <v>10.992402999999999</v>
      </c>
      <c r="AT16" s="13">
        <f t="shared" si="31"/>
        <v>1.504175</v>
      </c>
      <c r="AU16" s="13">
        <f t="shared" si="31"/>
        <v>0.84911999999999999</v>
      </c>
      <c r="AV16" s="13">
        <f t="shared" si="31"/>
        <v>0.74248999999999998</v>
      </c>
      <c r="AW16" s="13">
        <f t="shared" si="31"/>
        <v>0.44011599999999995</v>
      </c>
      <c r="AX16" s="13">
        <f t="shared" si="31"/>
        <v>0.79006699999999996</v>
      </c>
      <c r="AY16" s="13">
        <f t="shared" si="31"/>
        <v>11.735510999999999</v>
      </c>
      <c r="AZ16" s="13">
        <f t="shared" si="31"/>
        <v>15.995354999999996</v>
      </c>
      <c r="BA16" s="13">
        <f t="shared" si="31"/>
        <v>18.982975000000003</v>
      </c>
      <c r="BB16" s="288" t="s">
        <v>18</v>
      </c>
    </row>
    <row r="17" spans="1:54" s="49" customFormat="1" ht="15.75" x14ac:dyDescent="0.25">
      <c r="A17"/>
      <c r="C17"/>
      <c r="E17" s="288" t="s">
        <v>88</v>
      </c>
      <c r="F17" s="287">
        <f>SUMIF($BB$6:$BB$12,$E17,F$6:F$12)</f>
        <v>0</v>
      </c>
      <c r="G17" s="287">
        <f t="shared" si="31"/>
        <v>0</v>
      </c>
      <c r="H17" s="287">
        <f t="shared" si="31"/>
        <v>0</v>
      </c>
      <c r="I17" s="287">
        <f t="shared" si="31"/>
        <v>0</v>
      </c>
      <c r="J17" s="287">
        <f t="shared" si="31"/>
        <v>0</v>
      </c>
      <c r="K17" s="287">
        <f t="shared" si="31"/>
        <v>0</v>
      </c>
      <c r="L17" s="287">
        <f t="shared" si="31"/>
        <v>0</v>
      </c>
      <c r="M17" s="287">
        <f t="shared" si="31"/>
        <v>0</v>
      </c>
      <c r="N17" s="287">
        <f t="shared" si="31"/>
        <v>0</v>
      </c>
      <c r="O17" s="287">
        <f t="shared" si="31"/>
        <v>30.721299999999999</v>
      </c>
      <c r="P17" s="287">
        <f t="shared" si="31"/>
        <v>0</v>
      </c>
      <c r="Q17" s="287">
        <f t="shared" si="31"/>
        <v>0</v>
      </c>
      <c r="R17" s="287">
        <f t="shared" si="31"/>
        <v>0</v>
      </c>
      <c r="S17" s="287">
        <f t="shared" si="31"/>
        <v>0</v>
      </c>
      <c r="T17" s="287">
        <f t="shared" si="31"/>
        <v>0</v>
      </c>
      <c r="U17" s="287">
        <f t="shared" si="31"/>
        <v>5.5396000000000001</v>
      </c>
      <c r="V17" s="287">
        <f t="shared" si="31"/>
        <v>0</v>
      </c>
      <c r="W17" s="287">
        <f t="shared" si="31"/>
        <v>0</v>
      </c>
      <c r="X17" s="287">
        <f t="shared" si="31"/>
        <v>0</v>
      </c>
      <c r="Y17" s="287">
        <f t="shared" si="31"/>
        <v>0</v>
      </c>
      <c r="Z17" s="287">
        <f t="shared" si="31"/>
        <v>0</v>
      </c>
      <c r="AA17" s="287">
        <f t="shared" si="31"/>
        <v>37.465800000000002</v>
      </c>
      <c r="AB17" s="287">
        <f t="shared" si="31"/>
        <v>19.202200000000001</v>
      </c>
      <c r="AC17" s="287">
        <f t="shared" si="31"/>
        <v>0</v>
      </c>
      <c r="AD17" s="287">
        <f t="shared" si="31"/>
        <v>0</v>
      </c>
      <c r="AE17" s="287">
        <f t="shared" si="31"/>
        <v>0</v>
      </c>
      <c r="AF17" s="287">
        <f t="shared" si="31"/>
        <v>0</v>
      </c>
      <c r="AG17" s="287">
        <f t="shared" si="31"/>
        <v>26.363299999999999</v>
      </c>
      <c r="AH17" s="287">
        <f t="shared" si="31"/>
        <v>0</v>
      </c>
      <c r="AI17" s="287">
        <f t="shared" si="31"/>
        <v>0</v>
      </c>
      <c r="AJ17" s="287">
        <f t="shared" si="31"/>
        <v>0</v>
      </c>
      <c r="AK17" s="287">
        <f t="shared" si="31"/>
        <v>0</v>
      </c>
      <c r="AL17" s="287">
        <f t="shared" si="31"/>
        <v>0</v>
      </c>
      <c r="AM17" s="287">
        <f t="shared" si="31"/>
        <v>40.404600000000002</v>
      </c>
      <c r="AN17" s="287">
        <f t="shared" si="31"/>
        <v>21.153099999999998</v>
      </c>
      <c r="AO17" s="287">
        <f t="shared" si="31"/>
        <v>0</v>
      </c>
      <c r="AP17" s="287">
        <f t="shared" si="31"/>
        <v>0</v>
      </c>
      <c r="AQ17" s="287">
        <f t="shared" si="31"/>
        <v>0</v>
      </c>
      <c r="AR17" s="287">
        <f t="shared" si="31"/>
        <v>0</v>
      </c>
      <c r="AS17" s="287">
        <f t="shared" si="31"/>
        <v>27.398599999999998</v>
      </c>
      <c r="AT17" s="287">
        <f t="shared" si="31"/>
        <v>0</v>
      </c>
      <c r="AU17" s="287">
        <f t="shared" si="31"/>
        <v>0</v>
      </c>
      <c r="AV17" s="287">
        <f t="shared" si="31"/>
        <v>0</v>
      </c>
      <c r="AW17" s="287">
        <f t="shared" si="31"/>
        <v>0</v>
      </c>
      <c r="AX17" s="287">
        <f t="shared" si="31"/>
        <v>0</v>
      </c>
      <c r="AY17" s="287">
        <f t="shared" si="31"/>
        <v>30.075500000000002</v>
      </c>
      <c r="AZ17" s="287">
        <f t="shared" si="31"/>
        <v>2.2658</v>
      </c>
      <c r="BA17" s="287">
        <f t="shared" si="31"/>
        <v>0</v>
      </c>
      <c r="BB17" s="288" t="s">
        <v>88</v>
      </c>
    </row>
    <row r="18" spans="1:54" s="49" customFormat="1" ht="15.75" x14ac:dyDescent="0.25">
      <c r="A18"/>
      <c r="C18"/>
      <c r="E18" s="288" t="s">
        <v>92</v>
      </c>
      <c r="F18" s="287">
        <f>SUMIF($BB$6:$BB$12,$E18,F$6:F$12)</f>
        <v>0</v>
      </c>
      <c r="G18" s="287">
        <f t="shared" si="31"/>
        <v>0</v>
      </c>
      <c r="H18" s="287">
        <f t="shared" si="31"/>
        <v>0</v>
      </c>
      <c r="I18" s="287">
        <f t="shared" si="31"/>
        <v>0</v>
      </c>
      <c r="J18" s="287">
        <f t="shared" si="31"/>
        <v>0</v>
      </c>
      <c r="K18" s="287">
        <f t="shared" si="31"/>
        <v>0</v>
      </c>
      <c r="L18" s="287">
        <f t="shared" si="31"/>
        <v>0</v>
      </c>
      <c r="M18" s="287">
        <f t="shared" si="31"/>
        <v>0</v>
      </c>
      <c r="N18" s="287">
        <f t="shared" si="31"/>
        <v>0</v>
      </c>
      <c r="O18" s="287">
        <f t="shared" si="31"/>
        <v>0</v>
      </c>
      <c r="P18" s="287">
        <f t="shared" si="31"/>
        <v>0</v>
      </c>
      <c r="Q18" s="287">
        <f t="shared" si="31"/>
        <v>0</v>
      </c>
      <c r="R18" s="287">
        <f t="shared" si="31"/>
        <v>0</v>
      </c>
      <c r="S18" s="287">
        <f t="shared" si="31"/>
        <v>0</v>
      </c>
      <c r="T18" s="287">
        <f t="shared" si="31"/>
        <v>0</v>
      </c>
      <c r="U18" s="287">
        <f t="shared" si="31"/>
        <v>0</v>
      </c>
      <c r="V18" s="287">
        <f t="shared" si="31"/>
        <v>0</v>
      </c>
      <c r="W18" s="287">
        <f t="shared" si="31"/>
        <v>0</v>
      </c>
      <c r="X18" s="287">
        <f t="shared" si="31"/>
        <v>0</v>
      </c>
      <c r="Y18" s="287">
        <f t="shared" si="31"/>
        <v>0</v>
      </c>
      <c r="Z18" s="287">
        <f t="shared" si="31"/>
        <v>0</v>
      </c>
      <c r="AA18" s="287">
        <f t="shared" si="31"/>
        <v>0</v>
      </c>
      <c r="AB18" s="287">
        <f t="shared" si="31"/>
        <v>0.62800500000000004</v>
      </c>
      <c r="AC18" s="287">
        <f t="shared" si="31"/>
        <v>0.95806400000000003</v>
      </c>
      <c r="AD18" s="287">
        <f t="shared" si="31"/>
        <v>0.9984940000000001</v>
      </c>
      <c r="AE18" s="287">
        <f t="shared" si="31"/>
        <v>0.85016499999999995</v>
      </c>
      <c r="AF18" s="287">
        <f t="shared" si="31"/>
        <v>0.70401400000000003</v>
      </c>
      <c r="AG18" s="287">
        <f t="shared" si="31"/>
        <v>0.21221600000000002</v>
      </c>
      <c r="AH18" s="287">
        <f t="shared" si="31"/>
        <v>0</v>
      </c>
      <c r="AI18" s="287">
        <f t="shared" si="31"/>
        <v>0</v>
      </c>
      <c r="AJ18" s="287">
        <f t="shared" si="31"/>
        <v>0</v>
      </c>
      <c r="AK18" s="287">
        <f t="shared" si="31"/>
        <v>0</v>
      </c>
      <c r="AL18" s="287">
        <f t="shared" si="31"/>
        <v>0</v>
      </c>
      <c r="AM18" s="287">
        <f t="shared" si="31"/>
        <v>15.843109999999999</v>
      </c>
      <c r="AN18" s="287">
        <f t="shared" si="31"/>
        <v>20.014718999999999</v>
      </c>
      <c r="AO18" s="287">
        <f t="shared" si="31"/>
        <v>25.338184999999999</v>
      </c>
      <c r="AP18" s="287">
        <f t="shared" si="31"/>
        <v>29.068618000000001</v>
      </c>
      <c r="AQ18" s="287">
        <f t="shared" si="31"/>
        <v>23.308561000000001</v>
      </c>
      <c r="AR18" s="287">
        <f t="shared" si="31"/>
        <v>19.186454000000001</v>
      </c>
      <c r="AS18" s="287">
        <f t="shared" si="31"/>
        <v>26.870061</v>
      </c>
      <c r="AT18" s="287">
        <f t="shared" si="31"/>
        <v>0</v>
      </c>
      <c r="AU18" s="287">
        <f t="shared" si="31"/>
        <v>0</v>
      </c>
      <c r="AV18" s="287">
        <f t="shared" si="31"/>
        <v>0</v>
      </c>
      <c r="AW18" s="287">
        <f t="shared" si="31"/>
        <v>0</v>
      </c>
      <c r="AX18" s="287">
        <f t="shared" si="31"/>
        <v>0</v>
      </c>
      <c r="AY18" s="287">
        <f t="shared" si="31"/>
        <v>31.695170000000005</v>
      </c>
      <c r="AZ18" s="287">
        <f t="shared" si="31"/>
        <v>51.024462</v>
      </c>
      <c r="BA18" s="287">
        <f t="shared" si="31"/>
        <v>33.462116999999999</v>
      </c>
      <c r="BB18" s="288" t="s">
        <v>92</v>
      </c>
    </row>
    <row r="19" spans="1:54" s="49" customFormat="1" x14ac:dyDescent="0.25">
      <c r="A19"/>
      <c r="C19"/>
    </row>
    <row r="20" spans="1:54" s="49" customFormat="1" x14ac:dyDescent="0.25">
      <c r="A20"/>
    </row>
    <row r="21" spans="1:54" s="49" customFormat="1" x14ac:dyDescent="0.25">
      <c r="A21"/>
    </row>
    <row r="22" spans="1:54" s="49" customFormat="1" x14ac:dyDescent="0.25">
      <c r="A22"/>
    </row>
    <row r="23" spans="1:54" s="49" customFormat="1" x14ac:dyDescent="0.25">
      <c r="A23"/>
    </row>
    <row r="24" spans="1:54" s="49" customFormat="1" x14ac:dyDescent="0.25">
      <c r="A24"/>
    </row>
    <row r="25" spans="1:54" s="49" customFormat="1" x14ac:dyDescent="0.25">
      <c r="A25"/>
    </row>
    <row r="26" spans="1:54" s="49" customFormat="1" x14ac:dyDescent="0.25">
      <c r="A26"/>
    </row>
    <row r="27" spans="1:54" s="49" customFormat="1" x14ac:dyDescent="0.25">
      <c r="A27"/>
    </row>
    <row r="28" spans="1:54" s="49" customFormat="1" x14ac:dyDescent="0.25">
      <c r="A28"/>
    </row>
    <row r="29" spans="1:54" s="49" customFormat="1" x14ac:dyDescent="0.25">
      <c r="A29"/>
    </row>
    <row r="30" spans="1:54" s="49" customFormat="1" x14ac:dyDescent="0.25">
      <c r="A30"/>
    </row>
    <row r="31" spans="1:54" s="49" customFormat="1" x14ac:dyDescent="0.25">
      <c r="A31"/>
    </row>
    <row r="32" spans="1:54" s="49" customFormat="1" x14ac:dyDescent="0.25">
      <c r="A32"/>
    </row>
    <row r="33" spans="1:1" s="49" customFormat="1" x14ac:dyDescent="0.25">
      <c r="A33"/>
    </row>
    <row r="34" spans="1:1" s="49" customFormat="1" x14ac:dyDescent="0.25">
      <c r="A34"/>
    </row>
    <row r="35" spans="1:1" s="49" customFormat="1" x14ac:dyDescent="0.25">
      <c r="A35"/>
    </row>
    <row r="36" spans="1:1" s="49" customFormat="1" x14ac:dyDescent="0.25">
      <c r="A36"/>
    </row>
    <row r="37" spans="1:1" s="49" customFormat="1" x14ac:dyDescent="0.25">
      <c r="A37"/>
    </row>
    <row r="38" spans="1:1" s="49" customFormat="1" x14ac:dyDescent="0.25">
      <c r="A38"/>
    </row>
    <row r="39" spans="1:1" s="49" customFormat="1" x14ac:dyDescent="0.25">
      <c r="A39"/>
    </row>
    <row r="40" spans="1:1" s="49" customFormat="1" x14ac:dyDescent="0.25">
      <c r="A40"/>
    </row>
    <row r="41" spans="1:1" s="49" customFormat="1" x14ac:dyDescent="0.25">
      <c r="A41"/>
    </row>
    <row r="42" spans="1:1" s="49" customFormat="1" x14ac:dyDescent="0.25">
      <c r="A42"/>
    </row>
    <row r="43" spans="1:1" s="49" customFormat="1" x14ac:dyDescent="0.25">
      <c r="A43"/>
    </row>
    <row r="44" spans="1:1" s="49" customFormat="1" x14ac:dyDescent="0.25">
      <c r="A44"/>
    </row>
    <row r="45" spans="1:1" s="49" customFormat="1" x14ac:dyDescent="0.25">
      <c r="A45"/>
    </row>
    <row r="46" spans="1:1" s="49" customFormat="1" x14ac:dyDescent="0.25">
      <c r="A46"/>
    </row>
    <row r="47" spans="1:1" s="49" customFormat="1" x14ac:dyDescent="0.25">
      <c r="A47"/>
    </row>
    <row r="48" spans="1:1" s="49" customFormat="1" x14ac:dyDescent="0.25">
      <c r="A48"/>
    </row>
    <row r="49" spans="1:1" s="49" customFormat="1" x14ac:dyDescent="0.25">
      <c r="A49"/>
    </row>
    <row r="50" spans="1:1" s="49" customFormat="1" x14ac:dyDescent="0.25">
      <c r="A50"/>
    </row>
    <row r="51" spans="1:1" s="49" customFormat="1" x14ac:dyDescent="0.25">
      <c r="A51"/>
    </row>
    <row r="52" spans="1:1" s="49" customFormat="1" x14ac:dyDescent="0.25">
      <c r="A52"/>
    </row>
    <row r="53" spans="1:1" s="49" customFormat="1" x14ac:dyDescent="0.25">
      <c r="A53"/>
    </row>
    <row r="54" spans="1:1" s="49" customFormat="1" x14ac:dyDescent="0.25">
      <c r="A54"/>
    </row>
    <row r="55" spans="1:1" s="49" customFormat="1" x14ac:dyDescent="0.25">
      <c r="A55"/>
    </row>
    <row r="56" spans="1:1" s="49" customFormat="1" x14ac:dyDescent="0.25">
      <c r="A56"/>
    </row>
    <row r="57" spans="1:1" s="49" customFormat="1" x14ac:dyDescent="0.25">
      <c r="A57"/>
    </row>
    <row r="58" spans="1:1" s="49" customFormat="1" x14ac:dyDescent="0.25">
      <c r="A58"/>
    </row>
    <row r="59" spans="1:1" s="49" customFormat="1" x14ac:dyDescent="0.25">
      <c r="A59"/>
    </row>
    <row r="60" spans="1:1" s="49" customFormat="1" x14ac:dyDescent="0.25">
      <c r="A60"/>
    </row>
    <row r="61" spans="1:1" s="49" customFormat="1" x14ac:dyDescent="0.25">
      <c r="A61"/>
    </row>
    <row r="62" spans="1:1" s="49" customFormat="1" x14ac:dyDescent="0.25">
      <c r="A62"/>
    </row>
    <row r="63" spans="1:1" s="49" customFormat="1" x14ac:dyDescent="0.25">
      <c r="A63"/>
    </row>
    <row r="64" spans="1:1" s="49" customFormat="1" x14ac:dyDescent="0.25">
      <c r="A64"/>
    </row>
    <row r="65" spans="1:1" s="49" customFormat="1" x14ac:dyDescent="0.25">
      <c r="A65"/>
    </row>
    <row r="66" spans="1:1" s="49" customFormat="1" x14ac:dyDescent="0.25">
      <c r="A66"/>
    </row>
    <row r="67" spans="1:1" s="49" customFormat="1" x14ac:dyDescent="0.25">
      <c r="A67"/>
    </row>
    <row r="68" spans="1:1" s="49" customFormat="1" x14ac:dyDescent="0.25">
      <c r="A68"/>
    </row>
    <row r="69" spans="1:1" s="49" customFormat="1" x14ac:dyDescent="0.25">
      <c r="A69"/>
    </row>
    <row r="70" spans="1:1" s="49" customFormat="1" x14ac:dyDescent="0.25">
      <c r="A70"/>
    </row>
    <row r="71" spans="1:1" s="49" customFormat="1" x14ac:dyDescent="0.25">
      <c r="A71"/>
    </row>
    <row r="72" spans="1:1" s="49" customFormat="1" x14ac:dyDescent="0.25">
      <c r="A72"/>
    </row>
    <row r="73" spans="1:1" s="49" customFormat="1" x14ac:dyDescent="0.25">
      <c r="A73"/>
    </row>
    <row r="74" spans="1:1" s="49" customFormat="1" x14ac:dyDescent="0.25">
      <c r="A74"/>
    </row>
    <row r="75" spans="1:1" s="49" customFormat="1" x14ac:dyDescent="0.25">
      <c r="A75"/>
    </row>
    <row r="76" spans="1:1" s="49" customFormat="1" x14ac:dyDescent="0.25">
      <c r="A76"/>
    </row>
    <row r="77" spans="1:1" s="49" customFormat="1" x14ac:dyDescent="0.25">
      <c r="A77"/>
    </row>
    <row r="78" spans="1:1" s="49" customFormat="1" x14ac:dyDescent="0.25">
      <c r="A78"/>
    </row>
    <row r="79" spans="1:1" s="49" customFormat="1" x14ac:dyDescent="0.25">
      <c r="A79"/>
    </row>
    <row r="80" spans="1:1" s="49" customFormat="1" x14ac:dyDescent="0.25">
      <c r="A80"/>
    </row>
    <row r="81" spans="1:1" s="49" customFormat="1" x14ac:dyDescent="0.25">
      <c r="A81"/>
    </row>
    <row r="82" spans="1:1" s="49" customFormat="1" x14ac:dyDescent="0.25">
      <c r="A82"/>
    </row>
    <row r="83" spans="1:1" s="49" customFormat="1" x14ac:dyDescent="0.25">
      <c r="A83"/>
    </row>
    <row r="84" spans="1:1" s="49" customFormat="1" x14ac:dyDescent="0.25">
      <c r="A84"/>
    </row>
    <row r="85" spans="1:1" s="49" customFormat="1" x14ac:dyDescent="0.25">
      <c r="A85"/>
    </row>
    <row r="86" spans="1:1" s="49" customFormat="1" x14ac:dyDescent="0.25">
      <c r="A86"/>
    </row>
    <row r="87" spans="1:1" s="49" customFormat="1" x14ac:dyDescent="0.25">
      <c r="A87"/>
    </row>
    <row r="88" spans="1:1" s="49" customFormat="1" x14ac:dyDescent="0.25">
      <c r="A88"/>
    </row>
    <row r="89" spans="1:1" s="49" customFormat="1" x14ac:dyDescent="0.25">
      <c r="A89"/>
    </row>
    <row r="90" spans="1:1" s="49" customFormat="1" x14ac:dyDescent="0.25">
      <c r="A90"/>
    </row>
    <row r="91" spans="1:1" s="49" customFormat="1" x14ac:dyDescent="0.25">
      <c r="A91"/>
    </row>
    <row r="92" spans="1:1" s="49" customFormat="1" x14ac:dyDescent="0.25">
      <c r="A92"/>
    </row>
    <row r="93" spans="1:1" s="49" customFormat="1" x14ac:dyDescent="0.25">
      <c r="A93"/>
    </row>
    <row r="94" spans="1:1" s="49" customFormat="1" x14ac:dyDescent="0.25">
      <c r="A94"/>
    </row>
    <row r="95" spans="1:1" s="49" customFormat="1" x14ac:dyDescent="0.25">
      <c r="A95"/>
    </row>
    <row r="96" spans="1:1" s="49" customFormat="1" x14ac:dyDescent="0.25">
      <c r="A96"/>
    </row>
    <row r="97" spans="1:1" s="49" customFormat="1" x14ac:dyDescent="0.25">
      <c r="A97"/>
    </row>
    <row r="98" spans="1:1" s="49" customFormat="1" x14ac:dyDescent="0.25">
      <c r="A98"/>
    </row>
    <row r="99" spans="1:1" s="49" customFormat="1" x14ac:dyDescent="0.25">
      <c r="A99"/>
    </row>
    <row r="100" spans="1:1" s="49" customFormat="1" x14ac:dyDescent="0.25">
      <c r="A100"/>
    </row>
    <row r="101" spans="1:1" s="49" customFormat="1" x14ac:dyDescent="0.25">
      <c r="A101"/>
    </row>
    <row r="102" spans="1:1" s="49" customFormat="1" x14ac:dyDescent="0.25">
      <c r="A102"/>
    </row>
    <row r="103" spans="1:1" s="49" customFormat="1" x14ac:dyDescent="0.25">
      <c r="A103"/>
    </row>
    <row r="104" spans="1:1" s="49" customFormat="1" x14ac:dyDescent="0.25">
      <c r="A104"/>
    </row>
    <row r="105" spans="1:1" s="49" customFormat="1" x14ac:dyDescent="0.25">
      <c r="A105"/>
    </row>
    <row r="106" spans="1:1" s="49" customFormat="1" x14ac:dyDescent="0.25">
      <c r="A106"/>
    </row>
    <row r="107" spans="1:1" s="49" customFormat="1" x14ac:dyDescent="0.25">
      <c r="A107"/>
    </row>
    <row r="108" spans="1:1" s="49" customFormat="1" x14ac:dyDescent="0.25">
      <c r="A108"/>
    </row>
    <row r="109" spans="1:1" s="49" customFormat="1" x14ac:dyDescent="0.25">
      <c r="A109"/>
    </row>
    <row r="110" spans="1:1" s="49" customFormat="1" x14ac:dyDescent="0.25">
      <c r="A110"/>
    </row>
    <row r="111" spans="1:1" s="49" customFormat="1" x14ac:dyDescent="0.25">
      <c r="A111"/>
    </row>
    <row r="112" spans="1:1" s="49" customFormat="1" x14ac:dyDescent="0.25">
      <c r="A112"/>
    </row>
    <row r="113" spans="1:1" s="49" customFormat="1" x14ac:dyDescent="0.25">
      <c r="A113"/>
    </row>
    <row r="114" spans="1:1" s="49" customFormat="1" x14ac:dyDescent="0.25">
      <c r="A114"/>
    </row>
    <row r="115" spans="1:1" s="49" customFormat="1" x14ac:dyDescent="0.25">
      <c r="A115"/>
    </row>
    <row r="116" spans="1:1" s="49" customFormat="1" x14ac:dyDescent="0.25">
      <c r="A116"/>
    </row>
    <row r="117" spans="1:1" s="49" customFormat="1" x14ac:dyDescent="0.25">
      <c r="A117"/>
    </row>
    <row r="118" spans="1:1" s="49" customFormat="1" x14ac:dyDescent="0.25">
      <c r="A118"/>
    </row>
    <row r="119" spans="1:1" s="49" customFormat="1" x14ac:dyDescent="0.25">
      <c r="A119"/>
    </row>
    <row r="120" spans="1:1" s="49" customFormat="1" x14ac:dyDescent="0.25">
      <c r="A120"/>
    </row>
    <row r="121" spans="1:1" s="49" customFormat="1" x14ac:dyDescent="0.25">
      <c r="A121"/>
    </row>
    <row r="122" spans="1:1" s="49" customFormat="1" x14ac:dyDescent="0.25">
      <c r="A122"/>
    </row>
    <row r="123" spans="1:1" s="49" customFormat="1" x14ac:dyDescent="0.25">
      <c r="A123"/>
    </row>
    <row r="124" spans="1:1" s="49" customFormat="1" x14ac:dyDescent="0.25">
      <c r="A124"/>
    </row>
    <row r="125" spans="1:1" s="49" customFormat="1" x14ac:dyDescent="0.25">
      <c r="A125"/>
    </row>
    <row r="126" spans="1:1" s="49" customFormat="1" x14ac:dyDescent="0.25">
      <c r="A126"/>
    </row>
    <row r="127" spans="1:1" s="49" customFormat="1" x14ac:dyDescent="0.25">
      <c r="A127"/>
    </row>
    <row r="128" spans="1:1" s="49" customFormat="1" x14ac:dyDescent="0.25">
      <c r="A128"/>
    </row>
    <row r="129" spans="1:1" s="49" customFormat="1" x14ac:dyDescent="0.25">
      <c r="A129"/>
    </row>
    <row r="130" spans="1:1" s="49" customFormat="1" x14ac:dyDescent="0.25">
      <c r="A130"/>
    </row>
    <row r="131" spans="1:1" s="49" customFormat="1" x14ac:dyDescent="0.25">
      <c r="A131"/>
    </row>
    <row r="132" spans="1:1" s="49" customFormat="1" x14ac:dyDescent="0.25">
      <c r="A132"/>
    </row>
    <row r="133" spans="1:1" s="49" customFormat="1" x14ac:dyDescent="0.25">
      <c r="A133"/>
    </row>
    <row r="134" spans="1:1" s="49" customFormat="1" x14ac:dyDescent="0.25">
      <c r="A134"/>
    </row>
    <row r="135" spans="1:1" s="49" customFormat="1" x14ac:dyDescent="0.25">
      <c r="A135"/>
    </row>
    <row r="136" spans="1:1" s="49" customFormat="1" x14ac:dyDescent="0.25">
      <c r="A136"/>
    </row>
    <row r="137" spans="1:1" s="49" customFormat="1" x14ac:dyDescent="0.25">
      <c r="A137"/>
    </row>
    <row r="138" spans="1:1" s="49" customFormat="1" x14ac:dyDescent="0.25">
      <c r="A138"/>
    </row>
    <row r="139" spans="1:1" s="49" customFormat="1" x14ac:dyDescent="0.25">
      <c r="A139"/>
    </row>
    <row r="140" spans="1:1" s="49" customFormat="1" x14ac:dyDescent="0.25">
      <c r="A140"/>
    </row>
    <row r="141" spans="1:1" s="49" customFormat="1" x14ac:dyDescent="0.25">
      <c r="A141"/>
    </row>
    <row r="142" spans="1:1" s="49" customFormat="1" x14ac:dyDescent="0.25">
      <c r="A142"/>
    </row>
    <row r="143" spans="1:1" s="49" customFormat="1" x14ac:dyDescent="0.25">
      <c r="A143"/>
    </row>
    <row r="144" spans="1:1" s="49" customFormat="1" x14ac:dyDescent="0.25">
      <c r="A144"/>
    </row>
    <row r="145" spans="1:1" s="49" customFormat="1" x14ac:dyDescent="0.25">
      <c r="A145"/>
    </row>
    <row r="146" spans="1:1" s="49" customFormat="1" x14ac:dyDescent="0.25">
      <c r="A146"/>
    </row>
    <row r="147" spans="1:1" s="49" customFormat="1" x14ac:dyDescent="0.25">
      <c r="A147"/>
    </row>
    <row r="148" spans="1:1" s="49" customFormat="1" x14ac:dyDescent="0.25">
      <c r="A148"/>
    </row>
    <row r="149" spans="1:1" s="49" customFormat="1" x14ac:dyDescent="0.25">
      <c r="A149"/>
    </row>
    <row r="150" spans="1:1" s="49" customFormat="1" x14ac:dyDescent="0.25">
      <c r="A150"/>
    </row>
    <row r="151" spans="1:1" s="49" customFormat="1" x14ac:dyDescent="0.25">
      <c r="A151"/>
    </row>
    <row r="152" spans="1:1" s="49" customFormat="1" x14ac:dyDescent="0.25">
      <c r="A152"/>
    </row>
    <row r="153" spans="1:1" s="49" customFormat="1" x14ac:dyDescent="0.25">
      <c r="A153"/>
    </row>
    <row r="154" spans="1:1" s="49" customFormat="1" x14ac:dyDescent="0.25">
      <c r="A154"/>
    </row>
    <row r="155" spans="1:1" s="49" customFormat="1" x14ac:dyDescent="0.25">
      <c r="A155"/>
    </row>
    <row r="156" spans="1:1" s="49" customFormat="1" x14ac:dyDescent="0.25">
      <c r="A156"/>
    </row>
    <row r="157" spans="1:1" s="49" customFormat="1" x14ac:dyDescent="0.25">
      <c r="A157"/>
    </row>
    <row r="158" spans="1:1" s="49" customFormat="1" x14ac:dyDescent="0.25">
      <c r="A158"/>
    </row>
    <row r="159" spans="1:1" s="49" customFormat="1" x14ac:dyDescent="0.25">
      <c r="A159"/>
    </row>
    <row r="160" spans="1:1" s="49" customFormat="1" x14ac:dyDescent="0.25">
      <c r="A160"/>
    </row>
    <row r="161" spans="1:1" s="49" customFormat="1" x14ac:dyDescent="0.25">
      <c r="A161"/>
    </row>
    <row r="162" spans="1:1" s="49" customFormat="1" x14ac:dyDescent="0.25">
      <c r="A162"/>
    </row>
    <row r="163" spans="1:1" s="49" customFormat="1" x14ac:dyDescent="0.25">
      <c r="A163"/>
    </row>
    <row r="164" spans="1:1" s="49" customFormat="1" x14ac:dyDescent="0.25">
      <c r="A164"/>
    </row>
    <row r="165" spans="1:1" s="49" customFormat="1" x14ac:dyDescent="0.25">
      <c r="A165"/>
    </row>
    <row r="166" spans="1:1" s="49" customFormat="1" x14ac:dyDescent="0.25">
      <c r="A166"/>
    </row>
    <row r="167" spans="1:1" s="49" customFormat="1" x14ac:dyDescent="0.25">
      <c r="A167"/>
    </row>
    <row r="168" spans="1:1" s="49" customFormat="1" x14ac:dyDescent="0.25">
      <c r="A168"/>
    </row>
    <row r="169" spans="1:1" s="49" customFormat="1" x14ac:dyDescent="0.25">
      <c r="A169"/>
    </row>
    <row r="170" spans="1:1" s="49" customFormat="1" x14ac:dyDescent="0.25">
      <c r="A170"/>
    </row>
    <row r="171" spans="1:1" s="49" customFormat="1" x14ac:dyDescent="0.25">
      <c r="A171"/>
    </row>
    <row r="172" spans="1:1" s="49" customFormat="1" x14ac:dyDescent="0.25">
      <c r="A172"/>
    </row>
    <row r="173" spans="1:1" s="49" customFormat="1" x14ac:dyDescent="0.25">
      <c r="A173"/>
    </row>
    <row r="174" spans="1:1" s="49" customFormat="1" x14ac:dyDescent="0.25">
      <c r="A174"/>
    </row>
    <row r="175" spans="1:1" s="49" customFormat="1" x14ac:dyDescent="0.25">
      <c r="A175"/>
    </row>
    <row r="176" spans="1:1" s="49" customFormat="1" x14ac:dyDescent="0.25">
      <c r="A176"/>
    </row>
    <row r="177" spans="1:1" s="49" customFormat="1" x14ac:dyDescent="0.25">
      <c r="A177"/>
    </row>
    <row r="178" spans="1:1" s="49" customFormat="1" x14ac:dyDescent="0.25">
      <c r="A178"/>
    </row>
    <row r="179" spans="1:1" s="49" customFormat="1" x14ac:dyDescent="0.25">
      <c r="A179"/>
    </row>
    <row r="180" spans="1:1" s="49" customFormat="1" x14ac:dyDescent="0.25">
      <c r="A180"/>
    </row>
    <row r="181" spans="1:1" s="49" customFormat="1" x14ac:dyDescent="0.25">
      <c r="A181"/>
    </row>
    <row r="182" spans="1:1" s="49" customFormat="1" x14ac:dyDescent="0.25">
      <c r="A182"/>
    </row>
    <row r="183" spans="1:1" s="49" customFormat="1" x14ac:dyDescent="0.25">
      <c r="A183"/>
    </row>
    <row r="184" spans="1:1" s="49" customFormat="1" x14ac:dyDescent="0.25">
      <c r="A184"/>
    </row>
    <row r="185" spans="1:1" s="49" customFormat="1" x14ac:dyDescent="0.25">
      <c r="A185"/>
    </row>
    <row r="186" spans="1:1" s="49" customFormat="1" x14ac:dyDescent="0.25">
      <c r="A186"/>
    </row>
    <row r="187" spans="1:1" s="49" customFormat="1" x14ac:dyDescent="0.25">
      <c r="A187"/>
    </row>
    <row r="188" spans="1:1" s="49" customFormat="1" x14ac:dyDescent="0.25">
      <c r="A188"/>
    </row>
    <row r="189" spans="1:1" s="49" customFormat="1" x14ac:dyDescent="0.25">
      <c r="A189"/>
    </row>
    <row r="190" spans="1:1" s="49" customFormat="1" x14ac:dyDescent="0.25">
      <c r="A190"/>
    </row>
    <row r="191" spans="1:1" s="49" customFormat="1" x14ac:dyDescent="0.25">
      <c r="A191"/>
    </row>
    <row r="192" spans="1:1" s="49" customFormat="1" x14ac:dyDescent="0.25">
      <c r="A192"/>
    </row>
    <row r="193" spans="1:1" s="49" customFormat="1" x14ac:dyDescent="0.25">
      <c r="A193"/>
    </row>
    <row r="194" spans="1:1" s="49" customFormat="1" x14ac:dyDescent="0.25">
      <c r="A194"/>
    </row>
    <row r="195" spans="1:1" s="49" customFormat="1" x14ac:dyDescent="0.25">
      <c r="A195"/>
    </row>
    <row r="196" spans="1:1" s="49" customFormat="1" x14ac:dyDescent="0.25">
      <c r="A196"/>
    </row>
    <row r="197" spans="1:1" s="49" customFormat="1" x14ac:dyDescent="0.25">
      <c r="A197"/>
    </row>
    <row r="198" spans="1:1" s="49" customFormat="1" x14ac:dyDescent="0.25">
      <c r="A198"/>
    </row>
    <row r="199" spans="1:1" s="49" customFormat="1" x14ac:dyDescent="0.25">
      <c r="A199"/>
    </row>
    <row r="200" spans="1:1" s="49" customFormat="1" x14ac:dyDescent="0.25">
      <c r="A200"/>
    </row>
    <row r="201" spans="1:1" s="49" customFormat="1" x14ac:dyDescent="0.25">
      <c r="A201"/>
    </row>
    <row r="202" spans="1:1" s="49" customFormat="1" x14ac:dyDescent="0.25">
      <c r="A202"/>
    </row>
    <row r="203" spans="1:1" s="49" customFormat="1" x14ac:dyDescent="0.25">
      <c r="A203"/>
    </row>
    <row r="204" spans="1:1" s="49" customFormat="1" x14ac:dyDescent="0.25">
      <c r="A204"/>
    </row>
    <row r="205" spans="1:1" s="49" customFormat="1" x14ac:dyDescent="0.25">
      <c r="A205"/>
    </row>
    <row r="206" spans="1:1" s="49" customFormat="1" x14ac:dyDescent="0.25">
      <c r="A206"/>
    </row>
    <row r="207" spans="1:1" s="49" customFormat="1" x14ac:dyDescent="0.25">
      <c r="A207"/>
    </row>
    <row r="208" spans="1:1" s="49" customFormat="1" x14ac:dyDescent="0.25">
      <c r="A208"/>
    </row>
    <row r="209" spans="1:1" s="49" customFormat="1" x14ac:dyDescent="0.25">
      <c r="A209"/>
    </row>
    <row r="210" spans="1:1" s="49" customFormat="1" x14ac:dyDescent="0.25">
      <c r="A210"/>
    </row>
    <row r="211" spans="1:1" s="49" customFormat="1" x14ac:dyDescent="0.25">
      <c r="A211"/>
    </row>
    <row r="212" spans="1:1" s="49" customFormat="1" x14ac:dyDescent="0.25">
      <c r="A212"/>
    </row>
    <row r="213" spans="1:1" s="49" customFormat="1" x14ac:dyDescent="0.25">
      <c r="A213"/>
    </row>
    <row r="214" spans="1:1" s="49" customFormat="1" x14ac:dyDescent="0.25">
      <c r="A214"/>
    </row>
    <row r="215" spans="1:1" s="49" customFormat="1" x14ac:dyDescent="0.25">
      <c r="A215"/>
    </row>
    <row r="216" spans="1:1" s="49" customFormat="1" x14ac:dyDescent="0.25">
      <c r="A216"/>
    </row>
    <row r="217" spans="1:1" s="49" customFormat="1" x14ac:dyDescent="0.25">
      <c r="A217"/>
    </row>
    <row r="218" spans="1:1" s="49" customFormat="1" x14ac:dyDescent="0.25">
      <c r="A218"/>
    </row>
    <row r="219" spans="1:1" s="49" customFormat="1" x14ac:dyDescent="0.25">
      <c r="A219"/>
    </row>
    <row r="220" spans="1:1" s="49" customFormat="1" x14ac:dyDescent="0.25">
      <c r="A220"/>
    </row>
    <row r="221" spans="1:1" s="49" customFormat="1" x14ac:dyDescent="0.25">
      <c r="A221"/>
    </row>
    <row r="222" spans="1:1" s="49" customFormat="1" x14ac:dyDescent="0.25">
      <c r="A222"/>
    </row>
    <row r="223" spans="1:1" s="49" customFormat="1" x14ac:dyDescent="0.25">
      <c r="A223"/>
    </row>
    <row r="224" spans="1:1" s="49" customFormat="1" x14ac:dyDescent="0.25">
      <c r="A224"/>
    </row>
    <row r="225" spans="1:1" s="49" customFormat="1" x14ac:dyDescent="0.25">
      <c r="A225"/>
    </row>
    <row r="226" spans="1:1" s="49" customFormat="1" x14ac:dyDescent="0.25">
      <c r="A226"/>
    </row>
    <row r="227" spans="1:1" s="49" customFormat="1" x14ac:dyDescent="0.25">
      <c r="A227"/>
    </row>
    <row r="228" spans="1:1" s="49" customFormat="1" x14ac:dyDescent="0.25">
      <c r="A228"/>
    </row>
    <row r="229" spans="1:1" s="49" customFormat="1" x14ac:dyDescent="0.25">
      <c r="A229"/>
    </row>
    <row r="230" spans="1:1" s="49" customFormat="1" x14ac:dyDescent="0.25">
      <c r="A230"/>
    </row>
    <row r="231" spans="1:1" s="49" customFormat="1" x14ac:dyDescent="0.25">
      <c r="A231"/>
    </row>
    <row r="232" spans="1:1" s="49" customFormat="1" x14ac:dyDescent="0.25">
      <c r="A232"/>
    </row>
    <row r="233" spans="1:1" s="49" customFormat="1" x14ac:dyDescent="0.25">
      <c r="A233"/>
    </row>
    <row r="234" spans="1:1" s="49" customFormat="1" x14ac:dyDescent="0.25">
      <c r="A234"/>
    </row>
    <row r="235" spans="1:1" s="49" customFormat="1" x14ac:dyDescent="0.25">
      <c r="A235"/>
    </row>
    <row r="236" spans="1:1" s="49" customFormat="1" x14ac:dyDescent="0.25">
      <c r="A236"/>
    </row>
    <row r="237" spans="1:1" s="49" customFormat="1" x14ac:dyDescent="0.25">
      <c r="A237"/>
    </row>
    <row r="238" spans="1:1" s="49" customFormat="1" x14ac:dyDescent="0.25">
      <c r="A238"/>
    </row>
    <row r="239" spans="1:1" s="49" customFormat="1" x14ac:dyDescent="0.25">
      <c r="A239"/>
    </row>
    <row r="240" spans="1:1" s="49" customFormat="1" x14ac:dyDescent="0.25">
      <c r="A240"/>
    </row>
    <row r="241" spans="1:1" s="49" customFormat="1" x14ac:dyDescent="0.25">
      <c r="A241"/>
    </row>
    <row r="242" spans="1:1" s="49" customFormat="1" x14ac:dyDescent="0.25">
      <c r="A242"/>
    </row>
    <row r="243" spans="1:1" s="49" customFormat="1" x14ac:dyDescent="0.25">
      <c r="A243"/>
    </row>
    <row r="244" spans="1:1" s="49" customFormat="1" x14ac:dyDescent="0.25">
      <c r="A244"/>
    </row>
    <row r="245" spans="1:1" s="49" customFormat="1" x14ac:dyDescent="0.25">
      <c r="A245"/>
    </row>
    <row r="246" spans="1:1" s="49" customFormat="1" x14ac:dyDescent="0.25">
      <c r="A246"/>
    </row>
    <row r="247" spans="1:1" s="49" customFormat="1" x14ac:dyDescent="0.25">
      <c r="A247"/>
    </row>
    <row r="248" spans="1:1" s="49" customFormat="1" x14ac:dyDescent="0.25">
      <c r="A248"/>
    </row>
    <row r="249" spans="1:1" s="49" customFormat="1" x14ac:dyDescent="0.25">
      <c r="A249"/>
    </row>
    <row r="250" spans="1:1" s="49" customFormat="1" x14ac:dyDescent="0.25">
      <c r="A250"/>
    </row>
    <row r="251" spans="1:1" s="49" customFormat="1" x14ac:dyDescent="0.25">
      <c r="A251"/>
    </row>
    <row r="252" spans="1:1" s="49" customFormat="1" x14ac:dyDescent="0.25">
      <c r="A252"/>
    </row>
    <row r="253" spans="1:1" s="49" customFormat="1" x14ac:dyDescent="0.25">
      <c r="A253"/>
    </row>
    <row r="254" spans="1:1" s="49" customFormat="1" x14ac:dyDescent="0.25">
      <c r="A254"/>
    </row>
    <row r="255" spans="1:1" s="49" customFormat="1" x14ac:dyDescent="0.25">
      <c r="A255"/>
    </row>
    <row r="256" spans="1:1" s="49" customFormat="1" x14ac:dyDescent="0.25">
      <c r="A256"/>
    </row>
    <row r="257" spans="1:1" s="49" customFormat="1" x14ac:dyDescent="0.25">
      <c r="A257"/>
    </row>
    <row r="258" spans="1:1" s="49" customFormat="1" x14ac:dyDescent="0.25">
      <c r="A258"/>
    </row>
    <row r="259" spans="1:1" s="49" customFormat="1" x14ac:dyDescent="0.25">
      <c r="A259"/>
    </row>
    <row r="260" spans="1:1" s="49" customFormat="1" x14ac:dyDescent="0.25">
      <c r="A260"/>
    </row>
    <row r="261" spans="1:1" s="49" customFormat="1" x14ac:dyDescent="0.25">
      <c r="A261"/>
    </row>
    <row r="262" spans="1:1" s="49" customFormat="1" x14ac:dyDescent="0.25">
      <c r="A262"/>
    </row>
    <row r="263" spans="1:1" s="49" customFormat="1" x14ac:dyDescent="0.25">
      <c r="A263"/>
    </row>
    <row r="264" spans="1:1" s="49" customFormat="1" x14ac:dyDescent="0.25">
      <c r="A264"/>
    </row>
    <row r="265" spans="1:1" s="49" customFormat="1" x14ac:dyDescent="0.25">
      <c r="A265"/>
    </row>
    <row r="266" spans="1:1" s="49" customFormat="1" x14ac:dyDescent="0.25">
      <c r="A266"/>
    </row>
    <row r="267" spans="1:1" s="49" customFormat="1" x14ac:dyDescent="0.25">
      <c r="A267"/>
    </row>
    <row r="268" spans="1:1" s="49" customFormat="1" x14ac:dyDescent="0.25">
      <c r="A268"/>
    </row>
    <row r="269" spans="1:1" s="49" customFormat="1" x14ac:dyDescent="0.25">
      <c r="A269"/>
    </row>
    <row r="270" spans="1:1" s="49" customFormat="1" x14ac:dyDescent="0.25">
      <c r="A270"/>
    </row>
    <row r="271" spans="1:1" s="49" customFormat="1" x14ac:dyDescent="0.25">
      <c r="A271"/>
    </row>
    <row r="272" spans="1:1" s="49" customFormat="1" x14ac:dyDescent="0.25">
      <c r="A272"/>
    </row>
    <row r="273" spans="1:1" s="49" customFormat="1" x14ac:dyDescent="0.25">
      <c r="A273"/>
    </row>
    <row r="274" spans="1:1" s="49" customFormat="1" x14ac:dyDescent="0.25">
      <c r="A274"/>
    </row>
    <row r="275" spans="1:1" s="49" customFormat="1" x14ac:dyDescent="0.25">
      <c r="A275"/>
    </row>
    <row r="276" spans="1:1" s="49" customFormat="1" x14ac:dyDescent="0.25">
      <c r="A276"/>
    </row>
    <row r="277" spans="1:1" s="49" customFormat="1" x14ac:dyDescent="0.25">
      <c r="A277"/>
    </row>
    <row r="278" spans="1:1" s="49" customFormat="1" x14ac:dyDescent="0.25">
      <c r="A278"/>
    </row>
    <row r="279" spans="1:1" s="49" customFormat="1" x14ac:dyDescent="0.25">
      <c r="A279"/>
    </row>
    <row r="280" spans="1:1" s="49" customFormat="1" x14ac:dyDescent="0.25">
      <c r="A280"/>
    </row>
    <row r="281" spans="1:1" s="49" customFormat="1" x14ac:dyDescent="0.25">
      <c r="A281"/>
    </row>
    <row r="282" spans="1:1" s="49" customFormat="1" x14ac:dyDescent="0.25">
      <c r="A282"/>
    </row>
    <row r="283" spans="1:1" s="49" customFormat="1" x14ac:dyDescent="0.25">
      <c r="A283"/>
    </row>
    <row r="284" spans="1:1" s="49" customFormat="1" x14ac:dyDescent="0.25">
      <c r="A284"/>
    </row>
    <row r="285" spans="1:1" s="49" customFormat="1" x14ac:dyDescent="0.25">
      <c r="A285"/>
    </row>
    <row r="286" spans="1:1" s="49" customFormat="1" x14ac:dyDescent="0.25">
      <c r="A286"/>
    </row>
    <row r="287" spans="1:1" s="49" customFormat="1" x14ac:dyDescent="0.25">
      <c r="A287"/>
    </row>
    <row r="288" spans="1:1" s="49" customFormat="1" x14ac:dyDescent="0.25">
      <c r="A288"/>
    </row>
    <row r="289" spans="1:1" s="49" customFormat="1" x14ac:dyDescent="0.25">
      <c r="A289"/>
    </row>
    <row r="290" spans="1:1" s="49" customFormat="1" x14ac:dyDescent="0.25">
      <c r="A290"/>
    </row>
    <row r="291" spans="1:1" s="49" customFormat="1" x14ac:dyDescent="0.25">
      <c r="A291"/>
    </row>
    <row r="292" spans="1:1" s="49" customFormat="1" x14ac:dyDescent="0.25">
      <c r="A292"/>
    </row>
    <row r="293" spans="1:1" s="49" customFormat="1" x14ac:dyDescent="0.25">
      <c r="A293"/>
    </row>
    <row r="294" spans="1:1" s="49" customFormat="1" x14ac:dyDescent="0.25">
      <c r="A294"/>
    </row>
    <row r="295" spans="1:1" s="49" customFormat="1" x14ac:dyDescent="0.25">
      <c r="A295"/>
    </row>
    <row r="296" spans="1:1" s="49" customFormat="1" x14ac:dyDescent="0.25">
      <c r="A296"/>
    </row>
    <row r="297" spans="1:1" s="49" customFormat="1" x14ac:dyDescent="0.25">
      <c r="A297"/>
    </row>
    <row r="298" spans="1:1" s="49" customFormat="1" x14ac:dyDescent="0.25">
      <c r="A298"/>
    </row>
    <row r="299" spans="1:1" s="49" customFormat="1" x14ac:dyDescent="0.25">
      <c r="A299"/>
    </row>
    <row r="300" spans="1:1" s="49" customFormat="1" x14ac:dyDescent="0.25">
      <c r="A300"/>
    </row>
    <row r="301" spans="1:1" s="49" customFormat="1" x14ac:dyDescent="0.25">
      <c r="A301"/>
    </row>
    <row r="302" spans="1:1" s="49" customFormat="1" x14ac:dyDescent="0.25">
      <c r="A302"/>
    </row>
    <row r="303" spans="1:1" s="49" customFormat="1" x14ac:dyDescent="0.25">
      <c r="A303"/>
    </row>
    <row r="304" spans="1:1" s="49" customFormat="1" x14ac:dyDescent="0.25">
      <c r="A304"/>
    </row>
    <row r="305" spans="1:1" s="49" customFormat="1" x14ac:dyDescent="0.25">
      <c r="A305"/>
    </row>
    <row r="306" spans="1:1" s="49" customFormat="1" x14ac:dyDescent="0.25">
      <c r="A306"/>
    </row>
    <row r="307" spans="1:1" s="49" customFormat="1" x14ac:dyDescent="0.25">
      <c r="A307"/>
    </row>
    <row r="308" spans="1:1" s="49" customFormat="1" x14ac:dyDescent="0.25">
      <c r="A308"/>
    </row>
    <row r="309" spans="1:1" s="49" customFormat="1" x14ac:dyDescent="0.25">
      <c r="A309"/>
    </row>
    <row r="310" spans="1:1" s="49" customFormat="1" x14ac:dyDescent="0.25">
      <c r="A310"/>
    </row>
    <row r="311" spans="1:1" s="49" customFormat="1" x14ac:dyDescent="0.25">
      <c r="A311"/>
    </row>
    <row r="312" spans="1:1" s="49" customFormat="1" x14ac:dyDescent="0.25">
      <c r="A312"/>
    </row>
    <row r="313" spans="1:1" s="49" customFormat="1" x14ac:dyDescent="0.25">
      <c r="A313"/>
    </row>
    <row r="314" spans="1:1" s="49" customFormat="1" x14ac:dyDescent="0.25">
      <c r="A314"/>
    </row>
    <row r="315" spans="1:1" s="49" customFormat="1" x14ac:dyDescent="0.25">
      <c r="A315"/>
    </row>
    <row r="316" spans="1:1" s="49" customFormat="1" x14ac:dyDescent="0.25">
      <c r="A316"/>
    </row>
    <row r="317" spans="1:1" s="49" customFormat="1" x14ac:dyDescent="0.25">
      <c r="A317"/>
    </row>
    <row r="318" spans="1:1" s="49" customFormat="1" x14ac:dyDescent="0.25">
      <c r="A318"/>
    </row>
    <row r="319" spans="1:1" s="49" customFormat="1" x14ac:dyDescent="0.25">
      <c r="A319"/>
    </row>
    <row r="320" spans="1:1" s="49" customFormat="1" x14ac:dyDescent="0.25">
      <c r="A320"/>
    </row>
    <row r="321" spans="1:1" s="49" customFormat="1" x14ac:dyDescent="0.25">
      <c r="A321"/>
    </row>
    <row r="322" spans="1:1" s="49" customFormat="1" x14ac:dyDescent="0.25">
      <c r="A322"/>
    </row>
    <row r="323" spans="1:1" s="49" customFormat="1" x14ac:dyDescent="0.25">
      <c r="A323"/>
    </row>
    <row r="324" spans="1:1" s="49" customFormat="1" x14ac:dyDescent="0.25">
      <c r="A324"/>
    </row>
    <row r="325" spans="1:1" s="49" customFormat="1" x14ac:dyDescent="0.25">
      <c r="A325"/>
    </row>
    <row r="326" spans="1:1" s="49" customFormat="1" x14ac:dyDescent="0.25">
      <c r="A326"/>
    </row>
    <row r="327" spans="1:1" s="49" customFormat="1" x14ac:dyDescent="0.25">
      <c r="A327"/>
    </row>
    <row r="328" spans="1:1" s="49" customFormat="1" x14ac:dyDescent="0.25">
      <c r="A328"/>
    </row>
    <row r="329" spans="1:1" s="49" customFormat="1" x14ac:dyDescent="0.25">
      <c r="A329"/>
    </row>
    <row r="330" spans="1:1" s="49" customFormat="1" x14ac:dyDescent="0.25">
      <c r="A330"/>
    </row>
    <row r="331" spans="1:1" s="49" customFormat="1" x14ac:dyDescent="0.25">
      <c r="A331"/>
    </row>
    <row r="332" spans="1:1" s="49" customFormat="1" x14ac:dyDescent="0.25">
      <c r="A332"/>
    </row>
    <row r="333" spans="1:1" s="49" customFormat="1" x14ac:dyDescent="0.25">
      <c r="A333"/>
    </row>
    <row r="334" spans="1:1" s="49" customFormat="1" x14ac:dyDescent="0.25">
      <c r="A334"/>
    </row>
    <row r="335" spans="1:1" s="49" customFormat="1" x14ac:dyDescent="0.25">
      <c r="A335"/>
    </row>
    <row r="336" spans="1:1" s="49" customFormat="1" x14ac:dyDescent="0.25">
      <c r="A336"/>
    </row>
    <row r="337" spans="1:1" s="49" customFormat="1" x14ac:dyDescent="0.25">
      <c r="A337"/>
    </row>
    <row r="338" spans="1:1" s="49" customFormat="1" x14ac:dyDescent="0.25">
      <c r="A338"/>
    </row>
    <row r="339" spans="1:1" s="49" customFormat="1" x14ac:dyDescent="0.25">
      <c r="A339"/>
    </row>
    <row r="340" spans="1:1" s="49" customFormat="1" x14ac:dyDescent="0.25">
      <c r="A340"/>
    </row>
    <row r="341" spans="1:1" s="49" customFormat="1" x14ac:dyDescent="0.25">
      <c r="A341"/>
    </row>
    <row r="342" spans="1:1" s="49" customFormat="1" x14ac:dyDescent="0.25">
      <c r="A342"/>
    </row>
    <row r="343" spans="1:1" s="49" customFormat="1" x14ac:dyDescent="0.25">
      <c r="A343"/>
    </row>
    <row r="344" spans="1:1" s="49" customFormat="1" x14ac:dyDescent="0.25">
      <c r="A344"/>
    </row>
    <row r="345" spans="1:1" s="49" customFormat="1" x14ac:dyDescent="0.25">
      <c r="A345"/>
    </row>
    <row r="346" spans="1:1" s="49" customFormat="1" x14ac:dyDescent="0.25">
      <c r="A346"/>
    </row>
    <row r="347" spans="1:1" s="49" customFormat="1" x14ac:dyDescent="0.25">
      <c r="A347"/>
    </row>
    <row r="348" spans="1:1" s="49" customFormat="1" x14ac:dyDescent="0.25">
      <c r="A348"/>
    </row>
    <row r="349" spans="1:1" s="49" customFormat="1" x14ac:dyDescent="0.25">
      <c r="A349"/>
    </row>
    <row r="350" spans="1:1" s="49" customFormat="1" x14ac:dyDescent="0.25">
      <c r="A350"/>
    </row>
    <row r="351" spans="1:1" s="49" customFormat="1" x14ac:dyDescent="0.25">
      <c r="A351"/>
    </row>
    <row r="352" spans="1:1" s="49" customFormat="1" x14ac:dyDescent="0.25">
      <c r="A352"/>
    </row>
    <row r="353" spans="1:1" s="49" customFormat="1" x14ac:dyDescent="0.25">
      <c r="A353"/>
    </row>
    <row r="354" spans="1:1" s="49" customFormat="1" x14ac:dyDescent="0.25">
      <c r="A354"/>
    </row>
    <row r="355" spans="1:1" s="49" customFormat="1" x14ac:dyDescent="0.25">
      <c r="A355"/>
    </row>
    <row r="356" spans="1:1" s="49" customFormat="1" x14ac:dyDescent="0.25">
      <c r="A356"/>
    </row>
    <row r="357" spans="1:1" s="49" customFormat="1" x14ac:dyDescent="0.25">
      <c r="A357"/>
    </row>
    <row r="358" spans="1:1" s="49" customFormat="1" x14ac:dyDescent="0.25">
      <c r="A358"/>
    </row>
    <row r="359" spans="1:1" s="49" customFormat="1" x14ac:dyDescent="0.25">
      <c r="A359"/>
    </row>
    <row r="360" spans="1:1" s="49" customFormat="1" x14ac:dyDescent="0.25">
      <c r="A360"/>
    </row>
    <row r="361" spans="1:1" s="49" customFormat="1" x14ac:dyDescent="0.25">
      <c r="A361"/>
    </row>
    <row r="362" spans="1:1" s="49" customFormat="1" x14ac:dyDescent="0.25">
      <c r="A362"/>
    </row>
    <row r="363" spans="1:1" s="49" customFormat="1" x14ac:dyDescent="0.25">
      <c r="A363"/>
    </row>
    <row r="364" spans="1:1" s="49" customFormat="1" x14ac:dyDescent="0.25">
      <c r="A364"/>
    </row>
    <row r="365" spans="1:1" s="49" customFormat="1" x14ac:dyDescent="0.25">
      <c r="A365"/>
    </row>
    <row r="366" spans="1:1" s="49" customFormat="1" x14ac:dyDescent="0.25">
      <c r="A366"/>
    </row>
    <row r="367" spans="1:1" s="49" customFormat="1" x14ac:dyDescent="0.25">
      <c r="A367"/>
    </row>
    <row r="368" spans="1:1" s="49" customFormat="1" x14ac:dyDescent="0.25">
      <c r="A368"/>
    </row>
    <row r="369" spans="1:1" s="49" customFormat="1" x14ac:dyDescent="0.25">
      <c r="A369"/>
    </row>
    <row r="370" spans="1:1" s="49" customFormat="1" x14ac:dyDescent="0.25">
      <c r="A370"/>
    </row>
    <row r="371" spans="1:1" s="49" customFormat="1" x14ac:dyDescent="0.25">
      <c r="A371"/>
    </row>
    <row r="372" spans="1:1" s="49" customFormat="1" x14ac:dyDescent="0.25">
      <c r="A372"/>
    </row>
    <row r="373" spans="1:1" s="49" customFormat="1" x14ac:dyDescent="0.25">
      <c r="A373"/>
    </row>
    <row r="374" spans="1:1" s="49" customFormat="1" x14ac:dyDescent="0.25">
      <c r="A374"/>
    </row>
    <row r="375" spans="1:1" s="49" customFormat="1" x14ac:dyDescent="0.25">
      <c r="A375"/>
    </row>
    <row r="376" spans="1:1" s="49" customFormat="1" x14ac:dyDescent="0.25">
      <c r="A376"/>
    </row>
    <row r="377" spans="1:1" s="49" customFormat="1" x14ac:dyDescent="0.25">
      <c r="A377"/>
    </row>
    <row r="378" spans="1:1" s="49" customFormat="1" x14ac:dyDescent="0.25">
      <c r="A378"/>
    </row>
    <row r="379" spans="1:1" s="49" customFormat="1" x14ac:dyDescent="0.25">
      <c r="A379"/>
    </row>
    <row r="380" spans="1:1" s="49" customFormat="1" x14ac:dyDescent="0.25">
      <c r="A380"/>
    </row>
    <row r="381" spans="1:1" s="49" customFormat="1" x14ac:dyDescent="0.25">
      <c r="A381"/>
    </row>
    <row r="382" spans="1:1" s="49" customFormat="1" x14ac:dyDescent="0.25">
      <c r="A382"/>
    </row>
    <row r="383" spans="1:1" s="49" customFormat="1" x14ac:dyDescent="0.25">
      <c r="A383"/>
    </row>
    <row r="384" spans="1:1" s="49" customFormat="1" x14ac:dyDescent="0.25">
      <c r="A384"/>
    </row>
    <row r="385" spans="1:1" s="49" customFormat="1" x14ac:dyDescent="0.25">
      <c r="A385"/>
    </row>
    <row r="386" spans="1:1" s="49" customFormat="1" x14ac:dyDescent="0.25">
      <c r="A386"/>
    </row>
    <row r="387" spans="1:1" s="49" customFormat="1" x14ac:dyDescent="0.25">
      <c r="A387"/>
    </row>
    <row r="388" spans="1:1" s="49" customFormat="1" x14ac:dyDescent="0.25">
      <c r="A388"/>
    </row>
    <row r="389" spans="1:1" s="49" customFormat="1" x14ac:dyDescent="0.25">
      <c r="A389"/>
    </row>
    <row r="390" spans="1:1" s="49" customFormat="1" x14ac:dyDescent="0.25">
      <c r="A390"/>
    </row>
    <row r="391" spans="1:1" s="49" customFormat="1" x14ac:dyDescent="0.25">
      <c r="A391"/>
    </row>
    <row r="392" spans="1:1" s="49" customFormat="1" x14ac:dyDescent="0.25">
      <c r="A392"/>
    </row>
    <row r="393" spans="1:1" s="49" customFormat="1" x14ac:dyDescent="0.25">
      <c r="A393"/>
    </row>
    <row r="394" spans="1:1" s="49" customFormat="1" x14ac:dyDescent="0.25">
      <c r="A394"/>
    </row>
    <row r="395" spans="1:1" s="49" customFormat="1" x14ac:dyDescent="0.25">
      <c r="A395"/>
    </row>
    <row r="396" spans="1:1" s="49" customFormat="1" x14ac:dyDescent="0.25">
      <c r="A396"/>
    </row>
    <row r="397" spans="1:1" s="49" customFormat="1" x14ac:dyDescent="0.25">
      <c r="A397"/>
    </row>
    <row r="398" spans="1:1" s="49" customFormat="1" x14ac:dyDescent="0.25">
      <c r="A398"/>
    </row>
    <row r="399" spans="1:1" s="49" customFormat="1" x14ac:dyDescent="0.25">
      <c r="A399"/>
    </row>
    <row r="400" spans="1:1" s="49" customFormat="1" x14ac:dyDescent="0.25">
      <c r="A400"/>
    </row>
    <row r="401" spans="1:1" s="49" customFormat="1" x14ac:dyDescent="0.25">
      <c r="A401"/>
    </row>
    <row r="402" spans="1:1" s="49" customFormat="1" x14ac:dyDescent="0.25">
      <c r="A402"/>
    </row>
    <row r="403" spans="1:1" s="49" customFormat="1" x14ac:dyDescent="0.25">
      <c r="A403"/>
    </row>
    <row r="404" spans="1:1" s="49" customFormat="1" x14ac:dyDescent="0.25">
      <c r="A404"/>
    </row>
    <row r="405" spans="1:1" s="49" customFormat="1" x14ac:dyDescent="0.25">
      <c r="A405"/>
    </row>
    <row r="406" spans="1:1" s="49" customFormat="1" x14ac:dyDescent="0.25">
      <c r="A406"/>
    </row>
    <row r="407" spans="1:1" s="49" customFormat="1" x14ac:dyDescent="0.25">
      <c r="A407"/>
    </row>
    <row r="408" spans="1:1" s="49" customFormat="1" x14ac:dyDescent="0.25">
      <c r="A408"/>
    </row>
    <row r="409" spans="1:1" s="49" customFormat="1" x14ac:dyDescent="0.25">
      <c r="A409"/>
    </row>
    <row r="410" spans="1:1" s="49" customFormat="1" x14ac:dyDescent="0.25">
      <c r="A410"/>
    </row>
    <row r="411" spans="1:1" s="49" customFormat="1" x14ac:dyDescent="0.25">
      <c r="A411"/>
    </row>
    <row r="412" spans="1:1" s="49" customFormat="1" x14ac:dyDescent="0.25">
      <c r="A412"/>
    </row>
    <row r="413" spans="1:1" s="49" customFormat="1" x14ac:dyDescent="0.25">
      <c r="A413"/>
    </row>
    <row r="414" spans="1:1" s="49" customFormat="1" x14ac:dyDescent="0.25">
      <c r="A414"/>
    </row>
    <row r="415" spans="1:1" s="49" customFormat="1" x14ac:dyDescent="0.25">
      <c r="A415"/>
    </row>
    <row r="416" spans="1:1" s="49" customFormat="1" x14ac:dyDescent="0.25">
      <c r="A416"/>
    </row>
    <row r="417" spans="1:1" s="49" customFormat="1" x14ac:dyDescent="0.25">
      <c r="A417"/>
    </row>
    <row r="418" spans="1:1" s="49" customFormat="1" x14ac:dyDescent="0.25">
      <c r="A418"/>
    </row>
    <row r="419" spans="1:1" s="49" customFormat="1" x14ac:dyDescent="0.25">
      <c r="A419"/>
    </row>
    <row r="420" spans="1:1" s="49" customFormat="1" x14ac:dyDescent="0.25">
      <c r="A420"/>
    </row>
    <row r="421" spans="1:1" s="49" customFormat="1" x14ac:dyDescent="0.25">
      <c r="A421"/>
    </row>
    <row r="422" spans="1:1" s="49" customFormat="1" x14ac:dyDescent="0.25">
      <c r="A422"/>
    </row>
    <row r="423" spans="1:1" s="49" customFormat="1" x14ac:dyDescent="0.25">
      <c r="A423"/>
    </row>
    <row r="424" spans="1:1" s="49" customFormat="1" x14ac:dyDescent="0.25">
      <c r="A424"/>
    </row>
    <row r="425" spans="1:1" s="49" customFormat="1" x14ac:dyDescent="0.25">
      <c r="A425"/>
    </row>
    <row r="426" spans="1:1" s="49" customFormat="1" x14ac:dyDescent="0.25">
      <c r="A426"/>
    </row>
    <row r="427" spans="1:1" s="49" customFormat="1" x14ac:dyDescent="0.25">
      <c r="A427"/>
    </row>
    <row r="428" spans="1:1" s="49" customFormat="1" x14ac:dyDescent="0.25">
      <c r="A428"/>
    </row>
    <row r="429" spans="1:1" s="49" customFormat="1" x14ac:dyDescent="0.25">
      <c r="A429"/>
    </row>
    <row r="430" spans="1:1" s="49" customFormat="1" x14ac:dyDescent="0.25">
      <c r="A430"/>
    </row>
    <row r="431" spans="1:1" s="49" customFormat="1" x14ac:dyDescent="0.25">
      <c r="A431"/>
    </row>
    <row r="432" spans="1:1" s="49" customFormat="1" x14ac:dyDescent="0.25">
      <c r="A432"/>
    </row>
    <row r="433" spans="1:1" s="49" customFormat="1" x14ac:dyDescent="0.25">
      <c r="A433"/>
    </row>
    <row r="434" spans="1:1" s="49" customFormat="1" x14ac:dyDescent="0.25">
      <c r="A434"/>
    </row>
    <row r="435" spans="1:1" s="49" customFormat="1" x14ac:dyDescent="0.25">
      <c r="A435"/>
    </row>
    <row r="436" spans="1:1" s="49" customFormat="1" x14ac:dyDescent="0.25">
      <c r="A436"/>
    </row>
    <row r="437" spans="1:1" s="49" customFormat="1" x14ac:dyDescent="0.25">
      <c r="A437"/>
    </row>
    <row r="438" spans="1:1" s="49" customFormat="1" x14ac:dyDescent="0.25">
      <c r="A438"/>
    </row>
    <row r="439" spans="1:1" s="49" customFormat="1" x14ac:dyDescent="0.25">
      <c r="A439"/>
    </row>
    <row r="440" spans="1:1" s="49" customFormat="1" x14ac:dyDescent="0.25">
      <c r="A440"/>
    </row>
    <row r="441" spans="1:1" s="49" customFormat="1" x14ac:dyDescent="0.25">
      <c r="A441"/>
    </row>
    <row r="442" spans="1:1" s="49" customFormat="1" x14ac:dyDescent="0.25">
      <c r="A442"/>
    </row>
    <row r="443" spans="1:1" s="49" customFormat="1" x14ac:dyDescent="0.25">
      <c r="A443"/>
    </row>
    <row r="444" spans="1:1" s="49" customFormat="1" x14ac:dyDescent="0.25">
      <c r="A444"/>
    </row>
    <row r="445" spans="1:1" s="49" customFormat="1" x14ac:dyDescent="0.25">
      <c r="A445"/>
    </row>
    <row r="446" spans="1:1" s="49" customFormat="1" x14ac:dyDescent="0.25">
      <c r="A446"/>
    </row>
    <row r="447" spans="1:1" s="49" customFormat="1" x14ac:dyDescent="0.25">
      <c r="A447"/>
    </row>
    <row r="448" spans="1:1" s="49" customFormat="1" x14ac:dyDescent="0.25">
      <c r="A448"/>
    </row>
    <row r="449" spans="1:1" s="49" customFormat="1" x14ac:dyDescent="0.25">
      <c r="A449"/>
    </row>
    <row r="450" spans="1:1" s="49" customFormat="1" x14ac:dyDescent="0.25">
      <c r="A450"/>
    </row>
    <row r="451" spans="1:1" s="49" customFormat="1" x14ac:dyDescent="0.25">
      <c r="A451"/>
    </row>
    <row r="452" spans="1:1" s="49" customFormat="1" x14ac:dyDescent="0.25">
      <c r="A452"/>
    </row>
    <row r="453" spans="1:1" s="49" customFormat="1" x14ac:dyDescent="0.25">
      <c r="A453"/>
    </row>
    <row r="454" spans="1:1" s="49" customFormat="1" x14ac:dyDescent="0.25">
      <c r="A454"/>
    </row>
    <row r="455" spans="1:1" s="49" customFormat="1" x14ac:dyDescent="0.25">
      <c r="A455"/>
    </row>
    <row r="456" spans="1:1" s="49" customFormat="1" x14ac:dyDescent="0.25">
      <c r="A456"/>
    </row>
    <row r="457" spans="1:1" s="49" customFormat="1" x14ac:dyDescent="0.25">
      <c r="A457"/>
    </row>
    <row r="458" spans="1:1" s="49" customFormat="1" x14ac:dyDescent="0.25">
      <c r="A458"/>
    </row>
    <row r="459" spans="1:1" s="49" customFormat="1" x14ac:dyDescent="0.25">
      <c r="A459"/>
    </row>
    <row r="460" spans="1:1" s="49" customFormat="1" x14ac:dyDescent="0.25">
      <c r="A460"/>
    </row>
    <row r="461" spans="1:1" s="49" customFormat="1" x14ac:dyDescent="0.25">
      <c r="A461"/>
    </row>
    <row r="462" spans="1:1" s="49" customFormat="1" x14ac:dyDescent="0.25">
      <c r="A462"/>
    </row>
    <row r="463" spans="1:1" s="49" customFormat="1" x14ac:dyDescent="0.25">
      <c r="A463"/>
    </row>
    <row r="464" spans="1:1" s="49" customFormat="1" x14ac:dyDescent="0.25">
      <c r="A464"/>
    </row>
    <row r="465" spans="1:1" s="49" customFormat="1" x14ac:dyDescent="0.25">
      <c r="A465"/>
    </row>
    <row r="466" spans="1:1" s="49" customFormat="1" x14ac:dyDescent="0.25">
      <c r="A466"/>
    </row>
    <row r="467" spans="1:1" s="49" customFormat="1" x14ac:dyDescent="0.25">
      <c r="A467"/>
    </row>
    <row r="468" spans="1:1" s="49" customFormat="1" x14ac:dyDescent="0.25">
      <c r="A468"/>
    </row>
    <row r="469" spans="1:1" s="49" customFormat="1" x14ac:dyDescent="0.25">
      <c r="A469"/>
    </row>
    <row r="470" spans="1:1" s="49" customFormat="1" x14ac:dyDescent="0.25">
      <c r="A470"/>
    </row>
    <row r="471" spans="1:1" s="49" customFormat="1" x14ac:dyDescent="0.25">
      <c r="A471"/>
    </row>
    <row r="472" spans="1:1" s="49" customFormat="1" x14ac:dyDescent="0.25">
      <c r="A472"/>
    </row>
    <row r="473" spans="1:1" s="49" customFormat="1" x14ac:dyDescent="0.25">
      <c r="A473"/>
    </row>
    <row r="474" spans="1:1" s="49" customFormat="1" x14ac:dyDescent="0.25">
      <c r="A474"/>
    </row>
    <row r="475" spans="1:1" s="49" customFormat="1" x14ac:dyDescent="0.25">
      <c r="A475"/>
    </row>
    <row r="476" spans="1:1" s="49" customFormat="1" x14ac:dyDescent="0.25">
      <c r="A476"/>
    </row>
    <row r="477" spans="1:1" s="49" customFormat="1" x14ac:dyDescent="0.25">
      <c r="A477"/>
    </row>
    <row r="478" spans="1:1" s="49" customFormat="1" x14ac:dyDescent="0.25">
      <c r="A478"/>
    </row>
    <row r="479" spans="1:1" s="49" customFormat="1" x14ac:dyDescent="0.25">
      <c r="A479"/>
    </row>
    <row r="480" spans="1:1" s="49" customFormat="1" x14ac:dyDescent="0.25">
      <c r="A480"/>
    </row>
    <row r="481" spans="1:1" s="49" customFormat="1" x14ac:dyDescent="0.25">
      <c r="A481"/>
    </row>
    <row r="482" spans="1:1" s="49" customFormat="1" x14ac:dyDescent="0.25">
      <c r="A482"/>
    </row>
    <row r="483" spans="1:1" s="49" customFormat="1" x14ac:dyDescent="0.25">
      <c r="A483"/>
    </row>
    <row r="484" spans="1:1" s="49" customFormat="1" x14ac:dyDescent="0.25">
      <c r="A484"/>
    </row>
    <row r="485" spans="1:1" s="49" customFormat="1" x14ac:dyDescent="0.25">
      <c r="A485"/>
    </row>
    <row r="486" spans="1:1" s="49" customFormat="1" x14ac:dyDescent="0.25">
      <c r="A486"/>
    </row>
    <row r="487" spans="1:1" s="49" customFormat="1" x14ac:dyDescent="0.25">
      <c r="A487"/>
    </row>
    <row r="488" spans="1:1" s="49" customFormat="1" x14ac:dyDescent="0.25">
      <c r="A488"/>
    </row>
    <row r="489" spans="1:1" s="49" customFormat="1" x14ac:dyDescent="0.25">
      <c r="A489"/>
    </row>
    <row r="490" spans="1:1" s="49" customFormat="1" x14ac:dyDescent="0.25">
      <c r="A490"/>
    </row>
    <row r="491" spans="1:1" s="49" customFormat="1" x14ac:dyDescent="0.25">
      <c r="A491"/>
    </row>
    <row r="492" spans="1:1" s="49" customFormat="1" x14ac:dyDescent="0.25">
      <c r="A492"/>
    </row>
    <row r="493" spans="1:1" s="49" customFormat="1" x14ac:dyDescent="0.25">
      <c r="A493"/>
    </row>
    <row r="494" spans="1:1" s="49" customFormat="1" x14ac:dyDescent="0.25">
      <c r="A494"/>
    </row>
    <row r="495" spans="1:1" s="49" customFormat="1" x14ac:dyDescent="0.25">
      <c r="A495"/>
    </row>
    <row r="496" spans="1:1" s="49" customFormat="1" x14ac:dyDescent="0.25">
      <c r="A496"/>
    </row>
    <row r="497" spans="1:1" s="49" customFormat="1" x14ac:dyDescent="0.25">
      <c r="A497"/>
    </row>
    <row r="498" spans="1:1" s="49" customFormat="1" x14ac:dyDescent="0.25">
      <c r="A498"/>
    </row>
    <row r="499" spans="1:1" s="49" customFormat="1" x14ac:dyDescent="0.25">
      <c r="A499"/>
    </row>
    <row r="500" spans="1:1" s="49" customFormat="1" x14ac:dyDescent="0.25">
      <c r="A500"/>
    </row>
    <row r="501" spans="1:1" s="49" customFormat="1" x14ac:dyDescent="0.25">
      <c r="A501"/>
    </row>
    <row r="502" spans="1:1" s="49" customFormat="1" x14ac:dyDescent="0.25">
      <c r="A502"/>
    </row>
    <row r="503" spans="1:1" s="49" customFormat="1" x14ac:dyDescent="0.25">
      <c r="A503"/>
    </row>
    <row r="504" spans="1:1" s="49" customFormat="1" x14ac:dyDescent="0.25">
      <c r="A504"/>
    </row>
    <row r="505" spans="1:1" s="49" customFormat="1" x14ac:dyDescent="0.25">
      <c r="A505"/>
    </row>
    <row r="506" spans="1:1" s="49" customFormat="1" x14ac:dyDescent="0.25">
      <c r="A506"/>
    </row>
    <row r="507" spans="1:1" s="49" customFormat="1" x14ac:dyDescent="0.25">
      <c r="A507"/>
    </row>
    <row r="508" spans="1:1" s="49" customFormat="1" x14ac:dyDescent="0.25">
      <c r="A508"/>
    </row>
    <row r="509" spans="1:1" s="49" customFormat="1" x14ac:dyDescent="0.25">
      <c r="A509"/>
    </row>
    <row r="510" spans="1:1" s="49" customFormat="1" x14ac:dyDescent="0.25">
      <c r="A510"/>
    </row>
    <row r="511" spans="1:1" s="49" customFormat="1" x14ac:dyDescent="0.25">
      <c r="A511"/>
    </row>
    <row r="512" spans="1:1" s="49" customFormat="1" x14ac:dyDescent="0.25">
      <c r="A512"/>
    </row>
    <row r="513" spans="1:1" s="49" customFormat="1" x14ac:dyDescent="0.25">
      <c r="A513"/>
    </row>
    <row r="514" spans="1:1" s="49" customFormat="1" x14ac:dyDescent="0.25">
      <c r="A514"/>
    </row>
    <row r="515" spans="1:1" s="49" customFormat="1" x14ac:dyDescent="0.25">
      <c r="A515"/>
    </row>
    <row r="516" spans="1:1" s="49" customFormat="1" x14ac:dyDescent="0.25">
      <c r="A516"/>
    </row>
    <row r="517" spans="1:1" s="49" customFormat="1" x14ac:dyDescent="0.25">
      <c r="A517"/>
    </row>
    <row r="518" spans="1:1" s="49" customFormat="1" x14ac:dyDescent="0.25">
      <c r="A518"/>
    </row>
    <row r="519" spans="1:1" s="49" customFormat="1" x14ac:dyDescent="0.25">
      <c r="A519"/>
    </row>
    <row r="520" spans="1:1" s="49" customFormat="1" x14ac:dyDescent="0.25">
      <c r="A520"/>
    </row>
    <row r="521" spans="1:1" s="49" customFormat="1" x14ac:dyDescent="0.25">
      <c r="A521"/>
    </row>
    <row r="522" spans="1:1" s="49" customFormat="1" x14ac:dyDescent="0.25">
      <c r="A522"/>
    </row>
    <row r="523" spans="1:1" s="49" customFormat="1" x14ac:dyDescent="0.25">
      <c r="A523"/>
    </row>
    <row r="524" spans="1:1" s="49" customFormat="1" x14ac:dyDescent="0.25">
      <c r="A524"/>
    </row>
    <row r="525" spans="1:1" s="49" customFormat="1" x14ac:dyDescent="0.25">
      <c r="A525"/>
    </row>
    <row r="526" spans="1:1" s="49" customFormat="1" x14ac:dyDescent="0.25">
      <c r="A526"/>
    </row>
    <row r="527" spans="1:1" s="49" customFormat="1" x14ac:dyDescent="0.25">
      <c r="A527"/>
    </row>
    <row r="528" spans="1:1" s="49" customFormat="1" x14ac:dyDescent="0.25">
      <c r="A528"/>
    </row>
    <row r="529" spans="1:1" s="49" customFormat="1" x14ac:dyDescent="0.25">
      <c r="A529"/>
    </row>
    <row r="530" spans="1:1" s="49" customFormat="1" x14ac:dyDescent="0.25">
      <c r="A530"/>
    </row>
    <row r="531" spans="1:1" s="49" customFormat="1" x14ac:dyDescent="0.25">
      <c r="A531"/>
    </row>
    <row r="532" spans="1:1" s="49" customFormat="1" x14ac:dyDescent="0.25">
      <c r="A532"/>
    </row>
    <row r="533" spans="1:1" s="49" customFormat="1" x14ac:dyDescent="0.25">
      <c r="A533"/>
    </row>
    <row r="534" spans="1:1" s="49" customFormat="1" x14ac:dyDescent="0.25">
      <c r="A534"/>
    </row>
    <row r="535" spans="1:1" s="49" customFormat="1" x14ac:dyDescent="0.25">
      <c r="A535"/>
    </row>
    <row r="536" spans="1:1" s="49" customFormat="1" x14ac:dyDescent="0.25">
      <c r="A536"/>
    </row>
    <row r="537" spans="1:1" s="49" customFormat="1" x14ac:dyDescent="0.25">
      <c r="A537"/>
    </row>
    <row r="538" spans="1:1" s="49" customFormat="1" x14ac:dyDescent="0.25">
      <c r="A538"/>
    </row>
    <row r="539" spans="1:1" s="49" customFormat="1" x14ac:dyDescent="0.25">
      <c r="A539"/>
    </row>
    <row r="540" spans="1:1" s="49" customFormat="1" x14ac:dyDescent="0.25">
      <c r="A540"/>
    </row>
    <row r="541" spans="1:1" s="49" customFormat="1" x14ac:dyDescent="0.25">
      <c r="A541"/>
    </row>
    <row r="542" spans="1:1" s="49" customFormat="1" x14ac:dyDescent="0.25">
      <c r="A542"/>
    </row>
    <row r="543" spans="1:1" s="49" customFormat="1" x14ac:dyDescent="0.25">
      <c r="A543"/>
    </row>
    <row r="544" spans="1:1" s="49" customFormat="1" x14ac:dyDescent="0.25">
      <c r="A544"/>
    </row>
    <row r="545" spans="1:1" s="49" customFormat="1" x14ac:dyDescent="0.25">
      <c r="A545"/>
    </row>
    <row r="546" spans="1:1" s="49" customFormat="1" x14ac:dyDescent="0.25">
      <c r="A546"/>
    </row>
    <row r="547" spans="1:1" s="49" customFormat="1" x14ac:dyDescent="0.25">
      <c r="A547"/>
    </row>
    <row r="548" spans="1:1" s="49" customFormat="1" x14ac:dyDescent="0.25">
      <c r="A548"/>
    </row>
    <row r="549" spans="1:1" s="49" customFormat="1" x14ac:dyDescent="0.25">
      <c r="A549"/>
    </row>
    <row r="550" spans="1:1" s="49" customFormat="1" x14ac:dyDescent="0.25">
      <c r="A550"/>
    </row>
    <row r="551" spans="1:1" s="49" customFormat="1" x14ac:dyDescent="0.25">
      <c r="A551"/>
    </row>
    <row r="552" spans="1:1" s="49" customFormat="1" x14ac:dyDescent="0.25">
      <c r="A552"/>
    </row>
    <row r="553" spans="1:1" s="49" customFormat="1" x14ac:dyDescent="0.25">
      <c r="A553"/>
    </row>
    <row r="554" spans="1:1" s="49" customFormat="1" x14ac:dyDescent="0.25">
      <c r="A554"/>
    </row>
    <row r="555" spans="1:1" s="49" customFormat="1" x14ac:dyDescent="0.25">
      <c r="A555"/>
    </row>
    <row r="556" spans="1:1" s="49" customFormat="1" x14ac:dyDescent="0.25">
      <c r="A556"/>
    </row>
    <row r="557" spans="1:1" s="49" customFormat="1" x14ac:dyDescent="0.25">
      <c r="A557"/>
    </row>
    <row r="558" spans="1:1" s="49" customFormat="1" x14ac:dyDescent="0.25">
      <c r="A558"/>
    </row>
    <row r="559" spans="1:1" s="49" customFormat="1" x14ac:dyDescent="0.25">
      <c r="A559"/>
    </row>
    <row r="560" spans="1:1" s="49" customFormat="1" x14ac:dyDescent="0.25">
      <c r="A560"/>
    </row>
    <row r="561" spans="1:1" s="49" customFormat="1" x14ac:dyDescent="0.25">
      <c r="A561"/>
    </row>
    <row r="562" spans="1:1" s="49" customFormat="1" x14ac:dyDescent="0.25">
      <c r="A562"/>
    </row>
    <row r="563" spans="1:1" s="49" customFormat="1" x14ac:dyDescent="0.25">
      <c r="A563"/>
    </row>
    <row r="564" spans="1:1" s="49" customFormat="1" x14ac:dyDescent="0.25">
      <c r="A564"/>
    </row>
    <row r="565" spans="1:1" s="49" customFormat="1" x14ac:dyDescent="0.25">
      <c r="A565"/>
    </row>
    <row r="566" spans="1:1" s="49" customFormat="1" x14ac:dyDescent="0.25">
      <c r="A566"/>
    </row>
    <row r="567" spans="1:1" s="49" customFormat="1" x14ac:dyDescent="0.25">
      <c r="A567"/>
    </row>
    <row r="568" spans="1:1" s="49" customFormat="1" x14ac:dyDescent="0.25">
      <c r="A568"/>
    </row>
    <row r="569" spans="1:1" s="49" customFormat="1" x14ac:dyDescent="0.25">
      <c r="A569"/>
    </row>
    <row r="570" spans="1:1" s="49" customFormat="1" x14ac:dyDescent="0.25">
      <c r="A570"/>
    </row>
    <row r="571" spans="1:1" s="49" customFormat="1" x14ac:dyDescent="0.25">
      <c r="A571"/>
    </row>
    <row r="572" spans="1:1" s="49" customFormat="1" x14ac:dyDescent="0.25">
      <c r="A572"/>
    </row>
    <row r="573" spans="1:1" s="49" customFormat="1" x14ac:dyDescent="0.25">
      <c r="A573"/>
    </row>
    <row r="574" spans="1:1" s="49" customFormat="1" x14ac:dyDescent="0.25">
      <c r="A574"/>
    </row>
    <row r="575" spans="1:1" s="49" customFormat="1" x14ac:dyDescent="0.25">
      <c r="A575"/>
    </row>
    <row r="576" spans="1:1" s="49" customFormat="1" x14ac:dyDescent="0.25">
      <c r="A576"/>
    </row>
    <row r="577" spans="1:1" s="49" customFormat="1" x14ac:dyDescent="0.25">
      <c r="A577"/>
    </row>
    <row r="578" spans="1:1" s="49" customFormat="1" x14ac:dyDescent="0.25">
      <c r="A578"/>
    </row>
    <row r="579" spans="1:1" s="49" customFormat="1" x14ac:dyDescent="0.25">
      <c r="A579"/>
    </row>
    <row r="580" spans="1:1" s="49" customFormat="1" x14ac:dyDescent="0.25">
      <c r="A580"/>
    </row>
    <row r="581" spans="1:1" s="49" customFormat="1" x14ac:dyDescent="0.25">
      <c r="A581"/>
    </row>
    <row r="582" spans="1:1" s="49" customFormat="1" x14ac:dyDescent="0.25">
      <c r="A582"/>
    </row>
    <row r="583" spans="1:1" s="49" customFormat="1" x14ac:dyDescent="0.25">
      <c r="A583"/>
    </row>
    <row r="584" spans="1:1" s="49" customFormat="1" x14ac:dyDescent="0.25">
      <c r="A584"/>
    </row>
    <row r="585" spans="1:1" s="49" customFormat="1" x14ac:dyDescent="0.25">
      <c r="A585"/>
    </row>
    <row r="586" spans="1:1" s="49" customFormat="1" x14ac:dyDescent="0.25">
      <c r="A586"/>
    </row>
    <row r="587" spans="1:1" s="49" customFormat="1" x14ac:dyDescent="0.25">
      <c r="A587"/>
    </row>
    <row r="588" spans="1:1" s="49" customFormat="1" x14ac:dyDescent="0.25">
      <c r="A588"/>
    </row>
    <row r="589" spans="1:1" s="49" customFormat="1" x14ac:dyDescent="0.25">
      <c r="A589"/>
    </row>
    <row r="590" spans="1:1" s="49" customFormat="1" x14ac:dyDescent="0.25">
      <c r="A590"/>
    </row>
    <row r="591" spans="1:1" s="49" customFormat="1" x14ac:dyDescent="0.25">
      <c r="A591"/>
    </row>
    <row r="592" spans="1:1" s="49" customFormat="1" x14ac:dyDescent="0.25">
      <c r="A592"/>
    </row>
    <row r="593" spans="1:1" s="49" customFormat="1" x14ac:dyDescent="0.25">
      <c r="A593"/>
    </row>
    <row r="594" spans="1:1" s="49" customFormat="1" x14ac:dyDescent="0.25">
      <c r="A594"/>
    </row>
    <row r="595" spans="1:1" s="49" customFormat="1" x14ac:dyDescent="0.25">
      <c r="A595"/>
    </row>
    <row r="596" spans="1:1" s="49" customFormat="1" x14ac:dyDescent="0.25">
      <c r="A596"/>
    </row>
    <row r="597" spans="1:1" s="49" customFormat="1" x14ac:dyDescent="0.25">
      <c r="A597"/>
    </row>
    <row r="598" spans="1:1" s="49" customFormat="1" x14ac:dyDescent="0.25">
      <c r="A598"/>
    </row>
    <row r="599" spans="1:1" s="49" customFormat="1" x14ac:dyDescent="0.25">
      <c r="A599"/>
    </row>
    <row r="600" spans="1:1" s="49" customFormat="1" x14ac:dyDescent="0.25">
      <c r="A600"/>
    </row>
    <row r="601" spans="1:1" s="49" customFormat="1" x14ac:dyDescent="0.25">
      <c r="A601"/>
    </row>
    <row r="602" spans="1:1" s="49" customFormat="1" x14ac:dyDescent="0.25">
      <c r="A602"/>
    </row>
    <row r="603" spans="1:1" s="49" customFormat="1" x14ac:dyDescent="0.25">
      <c r="A603"/>
    </row>
    <row r="604" spans="1:1" s="49" customFormat="1" x14ac:dyDescent="0.25">
      <c r="A604"/>
    </row>
    <row r="605" spans="1:1" s="49" customFormat="1" x14ac:dyDescent="0.25">
      <c r="A605"/>
    </row>
    <row r="606" spans="1:1" s="49" customFormat="1" x14ac:dyDescent="0.25">
      <c r="A606"/>
    </row>
    <row r="607" spans="1:1" s="49" customFormat="1" x14ac:dyDescent="0.25">
      <c r="A607"/>
    </row>
    <row r="608" spans="1:1" s="49" customFormat="1" x14ac:dyDescent="0.25">
      <c r="A608"/>
    </row>
    <row r="609" spans="1:1" s="49" customFormat="1" x14ac:dyDescent="0.25">
      <c r="A609"/>
    </row>
    <row r="610" spans="1:1" s="49" customFormat="1" x14ac:dyDescent="0.25">
      <c r="A610"/>
    </row>
    <row r="611" spans="1:1" s="49" customFormat="1" x14ac:dyDescent="0.25">
      <c r="A611"/>
    </row>
    <row r="612" spans="1:1" s="49" customFormat="1" x14ac:dyDescent="0.25">
      <c r="A612"/>
    </row>
    <row r="613" spans="1:1" s="49" customFormat="1" x14ac:dyDescent="0.25">
      <c r="A613"/>
    </row>
    <row r="614" spans="1:1" s="49" customFormat="1" x14ac:dyDescent="0.25">
      <c r="A614"/>
    </row>
    <row r="615" spans="1:1" s="49" customFormat="1" x14ac:dyDescent="0.25">
      <c r="A615"/>
    </row>
    <row r="616" spans="1:1" s="49" customFormat="1" x14ac:dyDescent="0.25">
      <c r="A616"/>
    </row>
    <row r="617" spans="1:1" s="49" customFormat="1" x14ac:dyDescent="0.25">
      <c r="A617"/>
    </row>
    <row r="618" spans="1:1" s="49" customFormat="1" x14ac:dyDescent="0.25">
      <c r="A618"/>
    </row>
    <row r="619" spans="1:1" s="49" customFormat="1" x14ac:dyDescent="0.25">
      <c r="A619"/>
    </row>
    <row r="620" spans="1:1" s="49" customFormat="1" x14ac:dyDescent="0.25">
      <c r="A620"/>
    </row>
    <row r="621" spans="1:1" s="49" customFormat="1" x14ac:dyDescent="0.25">
      <c r="A621"/>
    </row>
    <row r="622" spans="1:1" s="49" customFormat="1" x14ac:dyDescent="0.25">
      <c r="A622"/>
    </row>
    <row r="623" spans="1:1" s="49" customFormat="1" x14ac:dyDescent="0.25">
      <c r="A623"/>
    </row>
    <row r="624" spans="1:1" s="49" customFormat="1" x14ac:dyDescent="0.25">
      <c r="A624"/>
    </row>
    <row r="625" spans="1:1" s="49" customFormat="1" x14ac:dyDescent="0.25">
      <c r="A625"/>
    </row>
    <row r="626" spans="1:1" s="49" customFormat="1" x14ac:dyDescent="0.25">
      <c r="A626"/>
    </row>
    <row r="627" spans="1:1" s="49" customFormat="1" x14ac:dyDescent="0.25">
      <c r="A627"/>
    </row>
    <row r="628" spans="1:1" s="49" customFormat="1" x14ac:dyDescent="0.25">
      <c r="A628"/>
    </row>
    <row r="629" spans="1:1" s="49" customFormat="1" x14ac:dyDescent="0.25">
      <c r="A629"/>
    </row>
    <row r="630" spans="1:1" s="49" customFormat="1" x14ac:dyDescent="0.25">
      <c r="A630"/>
    </row>
    <row r="631" spans="1:1" s="49" customFormat="1" x14ac:dyDescent="0.25">
      <c r="A631"/>
    </row>
    <row r="632" spans="1:1" s="49" customFormat="1" x14ac:dyDescent="0.25">
      <c r="A632"/>
    </row>
    <row r="633" spans="1:1" s="49" customFormat="1" x14ac:dyDescent="0.25">
      <c r="A633"/>
    </row>
    <row r="634" spans="1:1" s="49" customFormat="1" x14ac:dyDescent="0.25">
      <c r="A634"/>
    </row>
    <row r="635" spans="1:1" s="49" customFormat="1" x14ac:dyDescent="0.25">
      <c r="A635"/>
    </row>
    <row r="636" spans="1:1" s="49" customFormat="1" x14ac:dyDescent="0.25">
      <c r="A636"/>
    </row>
    <row r="637" spans="1:1" s="49" customFormat="1" x14ac:dyDescent="0.25">
      <c r="A637"/>
    </row>
    <row r="638" spans="1:1" s="49" customFormat="1" x14ac:dyDescent="0.25">
      <c r="A638"/>
    </row>
    <row r="639" spans="1:1" s="49" customFormat="1" x14ac:dyDescent="0.25">
      <c r="A639"/>
    </row>
    <row r="640" spans="1:1" s="49" customFormat="1" x14ac:dyDescent="0.25">
      <c r="A640"/>
    </row>
    <row r="641" spans="1:1" s="49" customFormat="1" x14ac:dyDescent="0.25">
      <c r="A641"/>
    </row>
    <row r="642" spans="1:1" s="49" customFormat="1" x14ac:dyDescent="0.25">
      <c r="A642"/>
    </row>
    <row r="643" spans="1:1" s="49" customFormat="1" x14ac:dyDescent="0.25">
      <c r="A643"/>
    </row>
    <row r="644" spans="1:1" s="49" customFormat="1" x14ac:dyDescent="0.25">
      <c r="A644"/>
    </row>
    <row r="645" spans="1:1" s="49" customFormat="1" x14ac:dyDescent="0.25">
      <c r="A645"/>
    </row>
    <row r="646" spans="1:1" s="49" customFormat="1" x14ac:dyDescent="0.25">
      <c r="A646"/>
    </row>
    <row r="647" spans="1:1" s="49" customFormat="1" x14ac:dyDescent="0.25">
      <c r="A647"/>
    </row>
    <row r="648" spans="1:1" s="49" customFormat="1" x14ac:dyDescent="0.25">
      <c r="A648"/>
    </row>
    <row r="649" spans="1:1" s="49" customFormat="1" x14ac:dyDescent="0.25">
      <c r="A649"/>
    </row>
    <row r="650" spans="1:1" s="49" customFormat="1" x14ac:dyDescent="0.25">
      <c r="A650"/>
    </row>
    <row r="651" spans="1:1" s="49" customFormat="1" x14ac:dyDescent="0.25">
      <c r="A651"/>
    </row>
    <row r="652" spans="1:1" s="49" customFormat="1" x14ac:dyDescent="0.25">
      <c r="A652"/>
    </row>
    <row r="653" spans="1:1" s="49" customFormat="1" x14ac:dyDescent="0.25">
      <c r="A653"/>
    </row>
    <row r="654" spans="1:1" s="49" customFormat="1" x14ac:dyDescent="0.25">
      <c r="A654"/>
    </row>
    <row r="655" spans="1:1" s="49" customFormat="1" x14ac:dyDescent="0.25">
      <c r="A655"/>
    </row>
    <row r="656" spans="1:1" s="49" customFormat="1" x14ac:dyDescent="0.25">
      <c r="A656"/>
    </row>
    <row r="657" spans="1:1" s="49" customFormat="1" x14ac:dyDescent="0.25">
      <c r="A657"/>
    </row>
    <row r="658" spans="1:1" s="49" customFormat="1" x14ac:dyDescent="0.25">
      <c r="A658"/>
    </row>
    <row r="659" spans="1:1" s="49" customFormat="1" x14ac:dyDescent="0.25">
      <c r="A659"/>
    </row>
    <row r="660" spans="1:1" s="49" customFormat="1" x14ac:dyDescent="0.25">
      <c r="A660"/>
    </row>
    <row r="661" spans="1:1" s="49" customFormat="1" x14ac:dyDescent="0.25">
      <c r="A661"/>
    </row>
    <row r="662" spans="1:1" s="49" customFormat="1" x14ac:dyDescent="0.25">
      <c r="A662"/>
    </row>
    <row r="663" spans="1:1" s="49" customFormat="1" x14ac:dyDescent="0.25">
      <c r="A663"/>
    </row>
    <row r="664" spans="1:1" s="49" customFormat="1" x14ac:dyDescent="0.25">
      <c r="A664"/>
    </row>
    <row r="665" spans="1:1" s="49" customFormat="1" x14ac:dyDescent="0.25">
      <c r="A665"/>
    </row>
    <row r="666" spans="1:1" s="49" customFormat="1" x14ac:dyDescent="0.25">
      <c r="A666"/>
    </row>
    <row r="667" spans="1:1" s="49" customFormat="1" x14ac:dyDescent="0.25">
      <c r="A667"/>
    </row>
    <row r="668" spans="1:1" s="49" customFormat="1" x14ac:dyDescent="0.25">
      <c r="A668"/>
    </row>
    <row r="669" spans="1:1" s="49" customFormat="1" x14ac:dyDescent="0.25">
      <c r="A669"/>
    </row>
    <row r="670" spans="1:1" s="49" customFormat="1" x14ac:dyDescent="0.25">
      <c r="A670"/>
    </row>
    <row r="671" spans="1:1" s="49" customFormat="1" x14ac:dyDescent="0.25">
      <c r="A671"/>
    </row>
    <row r="672" spans="1:1" s="49" customFormat="1" x14ac:dyDescent="0.25">
      <c r="A672"/>
    </row>
    <row r="673" spans="1:1" s="49" customFormat="1" x14ac:dyDescent="0.25">
      <c r="A673"/>
    </row>
    <row r="674" spans="1:1" s="49" customFormat="1" x14ac:dyDescent="0.25">
      <c r="A674"/>
    </row>
    <row r="675" spans="1:1" s="49" customFormat="1" x14ac:dyDescent="0.25">
      <c r="A675"/>
    </row>
    <row r="676" spans="1:1" s="49" customFormat="1" x14ac:dyDescent="0.25">
      <c r="A676"/>
    </row>
    <row r="677" spans="1:1" s="49" customFormat="1" x14ac:dyDescent="0.25">
      <c r="A677"/>
    </row>
    <row r="678" spans="1:1" s="49" customFormat="1" x14ac:dyDescent="0.25">
      <c r="A678"/>
    </row>
    <row r="679" spans="1:1" s="49" customFormat="1" x14ac:dyDescent="0.25">
      <c r="A679"/>
    </row>
    <row r="680" spans="1:1" s="49" customFormat="1" x14ac:dyDescent="0.25">
      <c r="A680"/>
    </row>
    <row r="681" spans="1:1" s="49" customFormat="1" x14ac:dyDescent="0.25">
      <c r="A681"/>
    </row>
    <row r="682" spans="1:1" s="49" customFormat="1" x14ac:dyDescent="0.25">
      <c r="A682"/>
    </row>
    <row r="683" spans="1:1" s="49" customFormat="1" x14ac:dyDescent="0.25">
      <c r="A683"/>
    </row>
    <row r="684" spans="1:1" s="49" customFormat="1" x14ac:dyDescent="0.25">
      <c r="A684"/>
    </row>
    <row r="685" spans="1:1" s="49" customFormat="1" x14ac:dyDescent="0.25">
      <c r="A685"/>
    </row>
    <row r="686" spans="1:1" s="49" customFormat="1" x14ac:dyDescent="0.25">
      <c r="A686"/>
    </row>
    <row r="687" spans="1:1" s="49" customFormat="1" x14ac:dyDescent="0.25">
      <c r="A687"/>
    </row>
    <row r="688" spans="1:1" s="49" customFormat="1" x14ac:dyDescent="0.25">
      <c r="A688"/>
    </row>
    <row r="689" spans="1:1" s="49" customFormat="1" x14ac:dyDescent="0.25">
      <c r="A689"/>
    </row>
    <row r="690" spans="1:1" s="49" customFormat="1" x14ac:dyDescent="0.25">
      <c r="A690"/>
    </row>
    <row r="691" spans="1:1" s="49" customFormat="1" x14ac:dyDescent="0.25">
      <c r="A691"/>
    </row>
    <row r="692" spans="1:1" s="49" customFormat="1" x14ac:dyDescent="0.25">
      <c r="A692"/>
    </row>
    <row r="693" spans="1:1" s="49" customFormat="1" x14ac:dyDescent="0.25">
      <c r="A693"/>
    </row>
    <row r="694" spans="1:1" s="49" customFormat="1" x14ac:dyDescent="0.25">
      <c r="A694"/>
    </row>
    <row r="695" spans="1:1" s="49" customFormat="1" x14ac:dyDescent="0.25">
      <c r="A695"/>
    </row>
    <row r="696" spans="1:1" s="49" customFormat="1" x14ac:dyDescent="0.25">
      <c r="A696"/>
    </row>
    <row r="697" spans="1:1" s="49" customFormat="1" x14ac:dyDescent="0.25">
      <c r="A697"/>
    </row>
    <row r="698" spans="1:1" s="49" customFormat="1" x14ac:dyDescent="0.25">
      <c r="A698"/>
    </row>
    <row r="699" spans="1:1" s="49" customFormat="1" x14ac:dyDescent="0.25">
      <c r="A699"/>
    </row>
    <row r="700" spans="1:1" s="49" customFormat="1" x14ac:dyDescent="0.25">
      <c r="A700"/>
    </row>
    <row r="701" spans="1:1" s="49" customFormat="1" x14ac:dyDescent="0.25">
      <c r="A701"/>
    </row>
    <row r="702" spans="1:1" s="49" customFormat="1" x14ac:dyDescent="0.25">
      <c r="A702"/>
    </row>
    <row r="703" spans="1:1" s="49" customFormat="1" x14ac:dyDescent="0.25">
      <c r="A703"/>
    </row>
    <row r="704" spans="1:1" s="49" customFormat="1" x14ac:dyDescent="0.25">
      <c r="A704"/>
    </row>
    <row r="705" spans="1:1" s="49" customFormat="1" x14ac:dyDescent="0.25">
      <c r="A705"/>
    </row>
    <row r="706" spans="1:1" s="49" customFormat="1" x14ac:dyDescent="0.25">
      <c r="A706"/>
    </row>
    <row r="707" spans="1:1" s="49" customFormat="1" x14ac:dyDescent="0.25">
      <c r="A707"/>
    </row>
    <row r="708" spans="1:1" s="49" customFormat="1" x14ac:dyDescent="0.25">
      <c r="A708"/>
    </row>
    <row r="709" spans="1:1" s="49" customFormat="1" x14ac:dyDescent="0.25">
      <c r="A709"/>
    </row>
    <row r="710" spans="1:1" s="49" customFormat="1" x14ac:dyDescent="0.25">
      <c r="A710"/>
    </row>
    <row r="711" spans="1:1" s="49" customFormat="1" x14ac:dyDescent="0.25">
      <c r="A711"/>
    </row>
    <row r="712" spans="1:1" s="49" customFormat="1" x14ac:dyDescent="0.25">
      <c r="A712"/>
    </row>
    <row r="713" spans="1:1" s="49" customFormat="1" x14ac:dyDescent="0.25">
      <c r="A713"/>
    </row>
    <row r="714" spans="1:1" s="49" customFormat="1" x14ac:dyDescent="0.25">
      <c r="A714"/>
    </row>
    <row r="715" spans="1:1" s="49" customFormat="1" x14ac:dyDescent="0.25">
      <c r="A715"/>
    </row>
    <row r="716" spans="1:1" s="49" customFormat="1" x14ac:dyDescent="0.25">
      <c r="A716"/>
    </row>
    <row r="717" spans="1:1" s="49" customFormat="1" x14ac:dyDescent="0.25">
      <c r="A717"/>
    </row>
    <row r="718" spans="1:1" s="49" customFormat="1" x14ac:dyDescent="0.25">
      <c r="A718"/>
    </row>
    <row r="719" spans="1:1" s="49" customFormat="1" x14ac:dyDescent="0.25">
      <c r="A719"/>
    </row>
    <row r="720" spans="1:1" s="49" customFormat="1" x14ac:dyDescent="0.25">
      <c r="A720"/>
    </row>
    <row r="721" spans="1:1" s="49" customFormat="1" x14ac:dyDescent="0.25">
      <c r="A721"/>
    </row>
    <row r="722" spans="1:1" s="49" customFormat="1" x14ac:dyDescent="0.25">
      <c r="A722"/>
    </row>
    <row r="723" spans="1:1" s="49" customFormat="1" x14ac:dyDescent="0.25">
      <c r="A723"/>
    </row>
    <row r="724" spans="1:1" s="49" customFormat="1" x14ac:dyDescent="0.25">
      <c r="A724"/>
    </row>
    <row r="725" spans="1:1" s="49" customFormat="1" x14ac:dyDescent="0.25">
      <c r="A725"/>
    </row>
    <row r="726" spans="1:1" s="49" customFormat="1" x14ac:dyDescent="0.25">
      <c r="A726"/>
    </row>
    <row r="727" spans="1:1" s="49" customFormat="1" x14ac:dyDescent="0.25">
      <c r="A727"/>
    </row>
    <row r="728" spans="1:1" s="49" customFormat="1" x14ac:dyDescent="0.25">
      <c r="A728"/>
    </row>
    <row r="729" spans="1:1" s="49" customFormat="1" x14ac:dyDescent="0.25">
      <c r="A729"/>
    </row>
    <row r="730" spans="1:1" s="49" customFormat="1" x14ac:dyDescent="0.25">
      <c r="A730"/>
    </row>
    <row r="731" spans="1:1" s="49" customFormat="1" x14ac:dyDescent="0.25">
      <c r="A731"/>
    </row>
    <row r="732" spans="1:1" s="49" customFormat="1" x14ac:dyDescent="0.25">
      <c r="A732"/>
    </row>
    <row r="733" spans="1:1" s="49" customFormat="1" x14ac:dyDescent="0.25">
      <c r="A733"/>
    </row>
    <row r="734" spans="1:1" s="49" customFormat="1" x14ac:dyDescent="0.25">
      <c r="A734"/>
    </row>
    <row r="735" spans="1:1" s="49" customFormat="1" x14ac:dyDescent="0.25">
      <c r="A735"/>
    </row>
    <row r="736" spans="1:1" s="49" customFormat="1" x14ac:dyDescent="0.25">
      <c r="A736"/>
    </row>
    <row r="737" spans="1:1" s="49" customFormat="1" x14ac:dyDescent="0.25">
      <c r="A737"/>
    </row>
    <row r="738" spans="1:1" s="49" customFormat="1" x14ac:dyDescent="0.25">
      <c r="A738"/>
    </row>
    <row r="739" spans="1:1" s="49" customFormat="1" x14ac:dyDescent="0.25">
      <c r="A739"/>
    </row>
    <row r="740" spans="1:1" s="49" customFormat="1" x14ac:dyDescent="0.25">
      <c r="A740"/>
    </row>
    <row r="741" spans="1:1" s="49" customFormat="1" x14ac:dyDescent="0.25">
      <c r="A741"/>
    </row>
    <row r="742" spans="1:1" s="49" customFormat="1" x14ac:dyDescent="0.25">
      <c r="A742"/>
    </row>
    <row r="743" spans="1:1" s="49" customFormat="1" x14ac:dyDescent="0.25">
      <c r="A743"/>
    </row>
    <row r="744" spans="1:1" s="49" customFormat="1" x14ac:dyDescent="0.25">
      <c r="A744"/>
    </row>
    <row r="745" spans="1:1" s="49" customFormat="1" x14ac:dyDescent="0.25">
      <c r="A745"/>
    </row>
    <row r="746" spans="1:1" s="49" customFormat="1" x14ac:dyDescent="0.25">
      <c r="A746"/>
    </row>
    <row r="747" spans="1:1" s="49" customFormat="1" x14ac:dyDescent="0.25">
      <c r="A747"/>
    </row>
    <row r="748" spans="1:1" s="49" customFormat="1" x14ac:dyDescent="0.25">
      <c r="A748"/>
    </row>
    <row r="749" spans="1:1" s="49" customFormat="1" x14ac:dyDescent="0.25">
      <c r="A749"/>
    </row>
    <row r="750" spans="1:1" s="49" customFormat="1" x14ac:dyDescent="0.25">
      <c r="A750"/>
    </row>
    <row r="751" spans="1:1" s="49" customFormat="1" x14ac:dyDescent="0.25">
      <c r="A751"/>
    </row>
    <row r="752" spans="1:1" s="49" customFormat="1" x14ac:dyDescent="0.25">
      <c r="A752"/>
    </row>
    <row r="753" spans="1:1" s="49" customFormat="1" x14ac:dyDescent="0.25">
      <c r="A753"/>
    </row>
    <row r="754" spans="1:1" s="49" customFormat="1" x14ac:dyDescent="0.25">
      <c r="A754"/>
    </row>
    <row r="755" spans="1:1" s="49" customFormat="1" x14ac:dyDescent="0.25">
      <c r="A755"/>
    </row>
    <row r="756" spans="1:1" s="49" customFormat="1" x14ac:dyDescent="0.25">
      <c r="A756"/>
    </row>
    <row r="757" spans="1:1" s="49" customFormat="1" x14ac:dyDescent="0.25">
      <c r="A757"/>
    </row>
    <row r="758" spans="1:1" s="49" customFormat="1" x14ac:dyDescent="0.25">
      <c r="A758"/>
    </row>
    <row r="759" spans="1:1" s="49" customFormat="1" x14ac:dyDescent="0.25">
      <c r="A759"/>
    </row>
    <row r="760" spans="1:1" s="49" customFormat="1" x14ac:dyDescent="0.25">
      <c r="A760"/>
    </row>
    <row r="761" spans="1:1" s="49" customFormat="1" x14ac:dyDescent="0.25">
      <c r="A761"/>
    </row>
    <row r="762" spans="1:1" s="49" customFormat="1" x14ac:dyDescent="0.25">
      <c r="A762"/>
    </row>
    <row r="763" spans="1:1" s="49" customFormat="1" x14ac:dyDescent="0.25">
      <c r="A763"/>
    </row>
    <row r="764" spans="1:1" s="49" customFormat="1" x14ac:dyDescent="0.25">
      <c r="A764"/>
    </row>
    <row r="765" spans="1:1" s="49" customFormat="1" x14ac:dyDescent="0.25">
      <c r="A765"/>
    </row>
    <row r="766" spans="1:1" s="49" customFormat="1" x14ac:dyDescent="0.25">
      <c r="A766"/>
    </row>
    <row r="767" spans="1:1" s="49" customFormat="1" x14ac:dyDescent="0.25">
      <c r="A767"/>
    </row>
    <row r="768" spans="1:1" s="49" customFormat="1" x14ac:dyDescent="0.25">
      <c r="A768"/>
    </row>
    <row r="769" spans="1:1" s="49" customFormat="1" x14ac:dyDescent="0.25">
      <c r="A769"/>
    </row>
    <row r="770" spans="1:1" s="49" customFormat="1" x14ac:dyDescent="0.25">
      <c r="A770"/>
    </row>
    <row r="771" spans="1:1" s="49" customFormat="1" x14ac:dyDescent="0.25">
      <c r="A771"/>
    </row>
    <row r="772" spans="1:1" s="49" customFormat="1" x14ac:dyDescent="0.25">
      <c r="A772"/>
    </row>
    <row r="773" spans="1:1" s="49" customFormat="1" x14ac:dyDescent="0.25">
      <c r="A773"/>
    </row>
    <row r="774" spans="1:1" s="49" customFormat="1" x14ac:dyDescent="0.25">
      <c r="A774"/>
    </row>
    <row r="775" spans="1:1" s="49" customFormat="1" x14ac:dyDescent="0.25">
      <c r="A775"/>
    </row>
    <row r="776" spans="1:1" s="49" customFormat="1" x14ac:dyDescent="0.25">
      <c r="A776"/>
    </row>
    <row r="777" spans="1:1" s="49" customFormat="1" x14ac:dyDescent="0.25">
      <c r="A777"/>
    </row>
    <row r="778" spans="1:1" s="49" customFormat="1" x14ac:dyDescent="0.25">
      <c r="A778"/>
    </row>
    <row r="779" spans="1:1" s="49" customFormat="1" x14ac:dyDescent="0.25">
      <c r="A779"/>
    </row>
  </sheetData>
  <mergeCells count="13">
    <mergeCell ref="D15:D16"/>
    <mergeCell ref="AP4:BA4"/>
    <mergeCell ref="AP3:BA3"/>
    <mergeCell ref="C2:AO2"/>
    <mergeCell ref="C3:Q3"/>
    <mergeCell ref="R3:AC3"/>
    <mergeCell ref="AD3:AO3"/>
    <mergeCell ref="C4:C5"/>
    <mergeCell ref="E4:E5"/>
    <mergeCell ref="F4:Q4"/>
    <mergeCell ref="R4:AC4"/>
    <mergeCell ref="AD4:AO4"/>
    <mergeCell ref="D4:D5"/>
  </mergeCells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6BCB5-F866-406F-AA71-EB03894AF980}">
  <sheetPr>
    <tabColor rgb="FFAEAAAA"/>
  </sheetPr>
  <dimension ref="B3:G2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7" sqref="A7"/>
      <selection pane="bottomRight" activeCell="I16" sqref="I16"/>
    </sheetView>
  </sheetViews>
  <sheetFormatPr defaultColWidth="9.140625" defaultRowHeight="14.25" x14ac:dyDescent="0.2"/>
  <cols>
    <col min="1" max="1" width="6.42578125" style="49" customWidth="1"/>
    <col min="2" max="2" width="45.42578125" style="49" customWidth="1"/>
    <col min="3" max="3" width="23.140625" style="49" customWidth="1"/>
    <col min="4" max="6" width="10.42578125" style="1" customWidth="1"/>
    <col min="7" max="7" width="23.140625" style="1" customWidth="1"/>
    <col min="8" max="16384" width="9.140625" style="49"/>
  </cols>
  <sheetData>
    <row r="3" spans="2:7" ht="15.75" thickBot="1" x14ac:dyDescent="0.3">
      <c r="B3" s="124" t="s">
        <v>133</v>
      </c>
      <c r="C3" s="124"/>
    </row>
    <row r="4" spans="2:7" ht="30" x14ac:dyDescent="0.2">
      <c r="B4" s="125" t="s">
        <v>21</v>
      </c>
      <c r="C4" s="125" t="s">
        <v>85</v>
      </c>
      <c r="D4" s="410">
        <v>2017</v>
      </c>
      <c r="E4" s="115">
        <v>2018</v>
      </c>
      <c r="F4" s="115">
        <v>2019</v>
      </c>
      <c r="G4" s="196" t="s">
        <v>86</v>
      </c>
    </row>
    <row r="5" spans="2:7" ht="15" x14ac:dyDescent="0.2">
      <c r="B5" s="429" t="s">
        <v>135</v>
      </c>
      <c r="C5" s="117" t="s">
        <v>19</v>
      </c>
      <c r="D5" s="197">
        <v>169.94</v>
      </c>
      <c r="E5" s="197">
        <v>156.58000000000001</v>
      </c>
      <c r="F5" s="197">
        <v>167.25</v>
      </c>
      <c r="G5" s="430" t="s">
        <v>87</v>
      </c>
    </row>
    <row r="6" spans="2:7" ht="15" x14ac:dyDescent="0.2">
      <c r="B6" s="429"/>
      <c r="C6" s="117" t="s">
        <v>89</v>
      </c>
      <c r="D6" s="197">
        <v>153.5</v>
      </c>
      <c r="E6" s="197">
        <v>156.30000000000001</v>
      </c>
      <c r="F6" s="197">
        <v>156.1</v>
      </c>
      <c r="G6" s="430"/>
    </row>
    <row r="7" spans="2:7" ht="15" x14ac:dyDescent="0.2">
      <c r="B7" s="429"/>
      <c r="C7" s="69" t="s">
        <v>23</v>
      </c>
      <c r="D7" s="197">
        <v>160.9</v>
      </c>
      <c r="E7" s="197">
        <v>163.19999999999999</v>
      </c>
      <c r="F7" s="197">
        <v>178.6</v>
      </c>
      <c r="G7" s="430"/>
    </row>
    <row r="8" spans="2:7" ht="15" x14ac:dyDescent="0.2">
      <c r="B8" s="429"/>
      <c r="C8" s="69" t="s">
        <v>91</v>
      </c>
      <c r="D8" s="197">
        <v>156.6</v>
      </c>
      <c r="E8" s="197">
        <v>157.30000000000001</v>
      </c>
      <c r="F8" s="197">
        <v>153.5</v>
      </c>
      <c r="G8" s="430"/>
    </row>
    <row r="9" spans="2:7" ht="15" x14ac:dyDescent="0.2">
      <c r="B9" s="429"/>
      <c r="C9" s="69" t="s">
        <v>93</v>
      </c>
      <c r="D9" s="197">
        <v>162.19999999999999</v>
      </c>
      <c r="E9" s="197">
        <v>156.30000000000001</v>
      </c>
      <c r="F9" s="197">
        <v>156.30000000000001</v>
      </c>
      <c r="G9" s="430"/>
    </row>
    <row r="10" spans="2:7" ht="15" x14ac:dyDescent="0.2">
      <c r="B10" s="429"/>
      <c r="C10" s="69" t="s">
        <v>94</v>
      </c>
      <c r="D10" s="197">
        <v>151.80000000000001</v>
      </c>
      <c r="E10" s="197">
        <v>156.30000000000001</v>
      </c>
      <c r="F10" s="197">
        <v>153.4</v>
      </c>
      <c r="G10" s="430"/>
    </row>
    <row r="11" spans="2:7" ht="15" x14ac:dyDescent="0.2">
      <c r="B11" s="429"/>
      <c r="C11" s="69" t="s">
        <v>95</v>
      </c>
      <c r="D11" s="197">
        <v>157</v>
      </c>
      <c r="E11" s="197">
        <v>157</v>
      </c>
      <c r="F11" s="197">
        <v>154.9</v>
      </c>
      <c r="G11" s="430"/>
    </row>
    <row r="12" spans="2:7" ht="15" x14ac:dyDescent="0.2">
      <c r="B12" s="429" t="s">
        <v>134</v>
      </c>
      <c r="C12" s="117" t="s">
        <v>19</v>
      </c>
      <c r="D12" s="411">
        <v>43.941000000000003</v>
      </c>
      <c r="E12" s="411">
        <v>46.625</v>
      </c>
      <c r="F12" s="411">
        <v>40.210999999999999</v>
      </c>
      <c r="G12" s="430"/>
    </row>
    <row r="13" spans="2:7" ht="15" x14ac:dyDescent="0.2">
      <c r="B13" s="429"/>
      <c r="C13" s="69" t="s">
        <v>23</v>
      </c>
      <c r="D13" s="411">
        <v>69.066000000000003</v>
      </c>
      <c r="E13" s="411">
        <v>72.48</v>
      </c>
      <c r="F13" s="411">
        <v>49.612000000000002</v>
      </c>
      <c r="G13" s="430"/>
    </row>
    <row r="14" spans="2:7" ht="15" x14ac:dyDescent="0.2">
      <c r="B14" s="429"/>
      <c r="C14" s="117" t="s">
        <v>89</v>
      </c>
      <c r="D14" s="411">
        <v>80.583601000000002</v>
      </c>
      <c r="E14" s="411">
        <v>72.756616000000008</v>
      </c>
      <c r="F14" s="411">
        <v>73.532260999999977</v>
      </c>
      <c r="G14" s="430"/>
    </row>
    <row r="15" spans="2:7" ht="15" x14ac:dyDescent="0.2">
      <c r="B15" s="429"/>
      <c r="C15" s="69" t="s">
        <v>91</v>
      </c>
      <c r="D15" s="411">
        <v>2.553626</v>
      </c>
      <c r="E15" s="411">
        <v>2.0613870000000003</v>
      </c>
      <c r="F15" s="411">
        <v>1.924288</v>
      </c>
      <c r="G15" s="430"/>
    </row>
    <row r="16" spans="2:7" ht="15" x14ac:dyDescent="0.2">
      <c r="B16" s="429"/>
      <c r="C16" s="69" t="s">
        <v>93</v>
      </c>
      <c r="D16" s="411">
        <v>21.399182999999997</v>
      </c>
      <c r="E16" s="411">
        <v>23.095847999999997</v>
      </c>
      <c r="F16" s="411">
        <v>23.80123</v>
      </c>
      <c r="G16" s="430"/>
    </row>
    <row r="17" spans="2:7" ht="15" x14ac:dyDescent="0.2">
      <c r="B17" s="429"/>
      <c r="C17" s="69" t="s">
        <v>94</v>
      </c>
      <c r="D17" s="411">
        <v>263.582179</v>
      </c>
      <c r="E17" s="411">
        <v>275.0072439999999</v>
      </c>
      <c r="F17" s="411">
        <v>235.15139099999996</v>
      </c>
      <c r="G17" s="430"/>
    </row>
    <row r="18" spans="2:7" ht="15" x14ac:dyDescent="0.2">
      <c r="B18" s="429"/>
      <c r="C18" s="69" t="s">
        <v>95</v>
      </c>
      <c r="D18" s="411">
        <v>163.48785699999999</v>
      </c>
      <c r="E18" s="411">
        <v>171.73140800000002</v>
      </c>
      <c r="F18" s="411">
        <v>156.39512299999996</v>
      </c>
      <c r="G18" s="430"/>
    </row>
    <row r="23" spans="2:7" ht="15" x14ac:dyDescent="0.25">
      <c r="D23"/>
      <c r="E23"/>
      <c r="F23"/>
      <c r="G23"/>
    </row>
    <row r="24" spans="2:7" ht="15" x14ac:dyDescent="0.25">
      <c r="D24"/>
      <c r="E24"/>
      <c r="F24"/>
      <c r="G24"/>
    </row>
    <row r="25" spans="2:7" ht="15" x14ac:dyDescent="0.25">
      <c r="D25"/>
      <c r="E25"/>
      <c r="F25"/>
      <c r="G25"/>
    </row>
    <row r="26" spans="2:7" ht="15" x14ac:dyDescent="0.25">
      <c r="D26"/>
      <c r="E26"/>
      <c r="F26"/>
      <c r="G26"/>
    </row>
  </sheetData>
  <mergeCells count="3">
    <mergeCell ref="B5:B11"/>
    <mergeCell ref="B12:B18"/>
    <mergeCell ref="G5:G18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A4DFD-05FC-4B5E-B77B-6E72A5762531}">
  <sheetPr>
    <tabColor rgb="FFAEAAAA"/>
  </sheetPr>
  <dimension ref="A1:AQ107"/>
  <sheetViews>
    <sheetView showGridLines="0" zoomScale="70" zoomScaleNormal="70" workbookViewId="0">
      <selection activeCell="K26" sqref="K26"/>
    </sheetView>
  </sheetViews>
  <sheetFormatPr defaultColWidth="9.140625" defaultRowHeight="15.75" x14ac:dyDescent="0.25"/>
  <cols>
    <col min="1" max="1" width="5.42578125" customWidth="1"/>
    <col min="2" max="2" width="68.28515625" style="54" customWidth="1"/>
    <col min="3" max="3" width="16.140625" style="199" customWidth="1"/>
    <col min="4" max="5" width="18" style="56" customWidth="1"/>
    <col min="6" max="6" width="18" style="55" customWidth="1"/>
    <col min="7" max="7" width="18" style="112" customWidth="1"/>
    <col min="44" max="16384" width="9.140625" style="10"/>
  </cols>
  <sheetData>
    <row r="1" spans="1:43" x14ac:dyDescent="0.25">
      <c r="E1" s="57"/>
    </row>
    <row r="2" spans="1:43" ht="15.75" customHeight="1" x14ac:dyDescent="0.25">
      <c r="B2" s="58"/>
      <c r="C2" s="136"/>
      <c r="D2" s="59"/>
      <c r="E2" s="60"/>
      <c r="F2" s="58"/>
      <c r="G2" s="113"/>
    </row>
    <row r="3" spans="1:43" s="62" customFormat="1" ht="31.5" x14ac:dyDescent="0.25">
      <c r="A3"/>
      <c r="B3" s="198" t="s">
        <v>112</v>
      </c>
      <c r="C3" s="200"/>
      <c r="D3" s="126" t="s">
        <v>54</v>
      </c>
      <c r="E3" s="126">
        <v>2022</v>
      </c>
      <c r="F3" s="133">
        <v>2023</v>
      </c>
      <c r="G3" s="135">
        <v>2024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2" customFormat="1" x14ac:dyDescent="0.25">
      <c r="A4"/>
      <c r="B4" s="61" t="s">
        <v>21</v>
      </c>
      <c r="C4" s="61" t="s">
        <v>2</v>
      </c>
      <c r="D4" s="61" t="s">
        <v>33</v>
      </c>
      <c r="E4" s="61" t="s">
        <v>33</v>
      </c>
      <c r="F4" s="109" t="s">
        <v>33</v>
      </c>
      <c r="G4" s="134" t="s">
        <v>33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</row>
    <row r="5" spans="1:43" ht="15" x14ac:dyDescent="0.25">
      <c r="B5" s="67" t="s">
        <v>34</v>
      </c>
      <c r="C5" s="201" t="s">
        <v>15</v>
      </c>
      <c r="D5" s="63">
        <f>SUM('Исходные данные_отпуск тепла'!L7:Q7)</f>
        <v>29.381214999999997</v>
      </c>
      <c r="E5" s="64">
        <f>SUM('Исходные данные_отпуск тепла'!R7:AC7)</f>
        <v>60.790778000000003</v>
      </c>
      <c r="F5" s="110">
        <f>SUM('Исходные данные_отпуск тепла'!AD7:AO7)</f>
        <v>58.539195999999997</v>
      </c>
      <c r="G5" s="207">
        <f>SUM('Исходные данные_отпуск тепла'!AP7:BA7)</f>
        <v>70.513253000000006</v>
      </c>
    </row>
    <row r="6" spans="1:43" ht="15" x14ac:dyDescent="0.25">
      <c r="B6" s="68" t="s">
        <v>35</v>
      </c>
      <c r="C6" s="143" t="s">
        <v>15</v>
      </c>
      <c r="D6" s="65">
        <f>D5*'Исходные данные_показатели ТЭЦ'!P17</f>
        <v>7.51271265968969</v>
      </c>
      <c r="E6" s="65">
        <f>E5*'Исходные данные_показатели ТЭЦ'!AC17</f>
        <v>12.773306494764986</v>
      </c>
      <c r="F6" s="65">
        <f>F5*'Исходные данные_показатели ТЭЦ'!AP17</f>
        <v>14.473601415403959</v>
      </c>
      <c r="G6" s="208">
        <f>G5*'Исходные данные_показатели ТЭЦ'!BC17</f>
        <v>15.231890655491746</v>
      </c>
    </row>
    <row r="7" spans="1:43" ht="15" x14ac:dyDescent="0.25">
      <c r="B7" s="68" t="s">
        <v>36</v>
      </c>
      <c r="C7" s="143" t="s">
        <v>37</v>
      </c>
      <c r="D7" s="65">
        <f>'Исходные данные_показатели ТЭЦ'!P20/1000</f>
        <v>3786.82</v>
      </c>
      <c r="E7" s="65">
        <f>'Исходные данные_показатели ТЭЦ'!AC20/1000</f>
        <v>3677.415</v>
      </c>
      <c r="F7" s="65">
        <f>'Исходные данные_показатели ТЭЦ'!AP20/1000</f>
        <v>3646.4450000000002</v>
      </c>
      <c r="G7" s="208">
        <f>'Исходные данные_показатели ТЭЦ'!BC20/1000</f>
        <v>4070.17</v>
      </c>
    </row>
    <row r="8" spans="1:43" ht="15" x14ac:dyDescent="0.25">
      <c r="B8" s="70" t="s">
        <v>38</v>
      </c>
      <c r="C8" s="143" t="s">
        <v>37</v>
      </c>
      <c r="D8" s="66">
        <f>D6*'Исходные данные_показатели ТЭЦ'!P12/1000</f>
        <v>1.1593250175101761</v>
      </c>
      <c r="E8" s="66">
        <f>E6*'Исходные данные_показатели ТЭЦ'!AC12/1000</f>
        <v>1.9637538258845186</v>
      </c>
      <c r="F8" s="66">
        <f>F6*'Исходные данные_показатели ТЭЦ'!AP12/1000</f>
        <v>2.2248253205211603</v>
      </c>
      <c r="G8" s="209">
        <f>G6*'Исходные данные_показатели ТЭЦ'!BC12/1000</f>
        <v>2.3418180693216075</v>
      </c>
    </row>
    <row r="9" spans="1:43" ht="30" x14ac:dyDescent="0.25">
      <c r="B9" s="70" t="s">
        <v>39</v>
      </c>
      <c r="C9" s="143" t="s">
        <v>37</v>
      </c>
      <c r="D9" s="66">
        <f>(D5-D6)*'Исходные данные_показатели ТЭЦ'!P13/1000</f>
        <v>3.6426386568861107</v>
      </c>
      <c r="E9" s="66">
        <f>(E5-E6)*'Исходные данные_показатели ТЭЦ'!AC13/1000</f>
        <v>7.9878584945936915</v>
      </c>
      <c r="F9" s="66">
        <f>(F5-F6)*'Исходные данные_показатели ТЭЦ'!AP13/1000</f>
        <v>7.3934470001776837</v>
      </c>
      <c r="G9" s="209">
        <f>(G5-G6)*'Исходные данные_показатели ТЭЦ'!BC13/1000</f>
        <v>9.3927195000043149</v>
      </c>
    </row>
    <row r="10" spans="1:43" ht="15" x14ac:dyDescent="0.25">
      <c r="B10" s="68" t="s">
        <v>40</v>
      </c>
      <c r="C10" s="143" t="s">
        <v>37</v>
      </c>
      <c r="D10" s="66">
        <f>(D5-D6)*('Исходные данные_показатели ТЭЦ'!P16/1000)*('Исходные данные_показатели ТЭЦ'!P15-'Исходные данные_показатели ТЭЦ'!P14)/1000</f>
        <v>2.8086446209852545</v>
      </c>
      <c r="E10" s="66">
        <f>(E5-E6)*('Исходные данные_показатели ТЭЦ'!AC16/1000)*('Исходные данные_показатели ТЭЦ'!AC15-'Исходные данные_показатели ТЭЦ'!AC14)/1000</f>
        <v>6.7248358867392852</v>
      </c>
      <c r="F10" s="66">
        <f>(F5-F6)*('Исходные данные_показатели ТЭЦ'!AP16/1000)*('Исходные данные_показатели ТЭЦ'!AP15-'Исходные данные_показатели ТЭЦ'!AP14)/1000</f>
        <v>6.4231439512359776</v>
      </c>
      <c r="G10" s="209">
        <f>(G5-G6)*('Исходные данные_показатели ТЭЦ'!BC16/1000)*('Исходные данные_показатели ТЭЦ'!BC15-'Исходные данные_показатели ТЭЦ'!BC14)/1000</f>
        <v>8.9518314077916585</v>
      </c>
    </row>
    <row r="11" spans="1:43" s="73" customFormat="1" ht="15" x14ac:dyDescent="0.25">
      <c r="A11"/>
      <c r="B11" s="71" t="s">
        <v>41</v>
      </c>
      <c r="C11" s="202" t="s">
        <v>37</v>
      </c>
      <c r="D11" s="72">
        <f>D7-D8-D9+D10</f>
        <v>3784.8266809465895</v>
      </c>
      <c r="E11" s="72">
        <f>E7-E8-E9+E10</f>
        <v>3674.1882235662611</v>
      </c>
      <c r="F11" s="72">
        <f>F7-F8-F9+F10</f>
        <v>3643.2498716305372</v>
      </c>
      <c r="G11" s="210">
        <f>G7-G8-G9+G10</f>
        <v>4067.3872938384661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</row>
    <row r="12" spans="1:43" s="73" customFormat="1" ht="17.25" customHeight="1" x14ac:dyDescent="0.25">
      <c r="A12"/>
      <c r="B12" s="71" t="s">
        <v>42</v>
      </c>
      <c r="C12" s="202" t="s">
        <v>37</v>
      </c>
      <c r="D12" s="66">
        <f>IF(D7&gt;D11,D7-D11,0)</f>
        <v>1.993319053410687</v>
      </c>
      <c r="E12" s="66">
        <f>IF(E7&gt;E11,E7-E11,0)</f>
        <v>3.2267764337389053</v>
      </c>
      <c r="F12" s="66">
        <f>IF(F7&gt;F11,F7-F11,0)</f>
        <v>3.1951283694629637</v>
      </c>
      <c r="G12" s="209">
        <f>IF(G7&gt;G11,G7-G11,0)</f>
        <v>2.7827061615339517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</row>
    <row r="13" spans="1:43" s="76" customFormat="1" ht="21" customHeight="1" x14ac:dyDescent="0.25">
      <c r="A13"/>
      <c r="B13" s="74"/>
      <c r="C13" s="203"/>
      <c r="D13" s="75"/>
      <c r="E13" s="75"/>
      <c r="F13" s="74"/>
      <c r="G13" s="114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s="77" customFormat="1" ht="30" customHeight="1" x14ac:dyDescent="0.25">
      <c r="A14"/>
      <c r="B14" s="198" t="s">
        <v>113</v>
      </c>
      <c r="C14" s="204"/>
      <c r="D14" s="126" t="s">
        <v>54</v>
      </c>
      <c r="E14" s="126">
        <v>2022</v>
      </c>
      <c r="F14" s="133">
        <v>2023</v>
      </c>
      <c r="G14" s="135">
        <v>2024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</row>
    <row r="15" spans="1:43" s="77" customFormat="1" x14ac:dyDescent="0.25">
      <c r="A15"/>
      <c r="B15" s="61" t="s">
        <v>21</v>
      </c>
      <c r="C15" s="61" t="s">
        <v>2</v>
      </c>
      <c r="D15" s="61" t="s">
        <v>33</v>
      </c>
      <c r="E15" s="61" t="s">
        <v>33</v>
      </c>
      <c r="F15" s="109" t="s">
        <v>33</v>
      </c>
      <c r="G15" s="134" t="s">
        <v>33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</row>
    <row r="16" spans="1:43" s="78" customFormat="1" ht="15" x14ac:dyDescent="0.25">
      <c r="A16"/>
      <c r="B16" s="67" t="s">
        <v>34</v>
      </c>
      <c r="C16" s="201" t="s">
        <v>15</v>
      </c>
      <c r="D16" s="64">
        <f>SUM('Исходные данные_отпуск тепла'!$L$6:$Q$6)</f>
        <v>16.850891000000001</v>
      </c>
      <c r="E16" s="64">
        <f>SUM('Исходные данные_отпуск тепла'!$R$6:$AC$6)</f>
        <v>38.774937000000001</v>
      </c>
      <c r="F16" s="111">
        <f>SUM('Исходные данные_отпуск тепла'!$AD$6:$AO$6)</f>
        <v>37.842919000000002</v>
      </c>
      <c r="G16" s="211">
        <f>SUM('Исходные данные_отпуск тепла'!$AP$6:$BA$6)</f>
        <v>36.591854999999995</v>
      </c>
      <c r="H16"/>
      <c r="I16"/>
      <c r="J16"/>
      <c r="K16"/>
      <c r="L16"/>
      <c r="M16" s="359"/>
      <c r="N16" s="359"/>
      <c r="O16" s="359"/>
      <c r="P16" s="359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</row>
    <row r="17" spans="1:43" s="78" customFormat="1" ht="15" x14ac:dyDescent="0.25">
      <c r="A17"/>
      <c r="B17" s="68" t="s">
        <v>35</v>
      </c>
      <c r="C17" s="143" t="s">
        <v>15</v>
      </c>
      <c r="D17" s="66">
        <f>D16*'Исходные данные_показатели ТЭЦ'!$P$36</f>
        <v>3.7479897946325091</v>
      </c>
      <c r="E17" s="66">
        <f>E16*'Исходные данные_показатели ТЭЦ'!$AC$36</f>
        <v>6.9858612825298465</v>
      </c>
      <c r="F17" s="66">
        <f>F16*'Исходные данные_показатели ТЭЦ'!$AP$36</f>
        <v>5.7501147312777441</v>
      </c>
      <c r="G17" s="209">
        <f>G16*'Исходные данные_показатели ТЭЦ'!$BC$36</f>
        <v>6.1222457886594812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</row>
    <row r="18" spans="1:43" s="78" customFormat="1" ht="15" x14ac:dyDescent="0.25">
      <c r="A18"/>
      <c r="B18" s="68" t="s">
        <v>36</v>
      </c>
      <c r="C18" s="143" t="s">
        <v>37</v>
      </c>
      <c r="D18" s="66">
        <f>'Исходные данные_показатели ТЭЦ'!$P$39/1000</f>
        <v>3044.223</v>
      </c>
      <c r="E18" s="66">
        <f>'Исходные данные_показатели ТЭЦ'!$AC$39/1000</f>
        <v>3041.2570000000001</v>
      </c>
      <c r="F18" s="66">
        <f>'Исходные данные_показатели ТЭЦ'!$AP$39/1000</f>
        <v>2775.7440000000001</v>
      </c>
      <c r="G18" s="209">
        <f>'Исходные данные_показатели ТЭЦ'!$BC$39/1000</f>
        <v>2973.489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s="78" customFormat="1" ht="18" customHeight="1" x14ac:dyDescent="0.25">
      <c r="A19"/>
      <c r="B19" s="70" t="s">
        <v>38</v>
      </c>
      <c r="C19" s="143" t="s">
        <v>37</v>
      </c>
      <c r="D19" s="66">
        <f>D17*'Исходные данные_показатели ТЭЦ'!$P$31/1000</f>
        <v>0.57949034428772428</v>
      </c>
      <c r="E19" s="66">
        <f>E17*'Исходные данные_показатели ТЭЦ'!$AC$31/1000</f>
        <v>1.0783261508507542</v>
      </c>
      <c r="F19" s="66">
        <f>F17*'Исходные данные_показатели ТЭЦ'!$AP$31/1000</f>
        <v>0.88410207743524838</v>
      </c>
      <c r="G19" s="209">
        <f>G17*'Исходные данные_показатели ТЭЦ'!$BC$31/1000</f>
        <v>0.94622257814561361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</row>
    <row r="20" spans="1:43" s="78" customFormat="1" ht="30" x14ac:dyDescent="0.25">
      <c r="A20"/>
      <c r="B20" s="70" t="s">
        <v>39</v>
      </c>
      <c r="C20" s="143" t="s">
        <v>37</v>
      </c>
      <c r="D20" s="66">
        <f>(D16-D17)*'Исходные данные_показатели ТЭЦ'!$P$32/1000</f>
        <v>2.2497492578192637</v>
      </c>
      <c r="E20" s="66">
        <f>(E16-E17)*'Исходные данные_показатели ТЭЦ'!$AC$32/1000</f>
        <v>5.4728588631295043</v>
      </c>
      <c r="F20" s="66">
        <f>(F16-F17)*'Исходные данные_показатели ТЭЦ'!$AP$32/1000</f>
        <v>5.5319705426814902</v>
      </c>
      <c r="G20" s="209">
        <f>(G16-G17)*'Исходные данные_показатели ТЭЦ'!$BC$32/1000</f>
        <v>5.2199573154748151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</row>
    <row r="21" spans="1:43" s="78" customFormat="1" ht="15" x14ac:dyDescent="0.25">
      <c r="A21"/>
      <c r="B21" s="68" t="s">
        <v>40</v>
      </c>
      <c r="C21" s="143" t="s">
        <v>37</v>
      </c>
      <c r="D21" s="66">
        <f>(D16-D17)*('Исходные данные_показатели ТЭЦ'!$P$35/1000)*('Исходные данные_показатели ТЭЦ'!$P$34-'Исходные данные_показатели ТЭЦ'!$P$33)/1000</f>
        <v>2.1305927061423224</v>
      </c>
      <c r="E21" s="66">
        <f>(E16-E17)*('Исходные данные_показатели ТЭЦ'!$AC$35/1000)*('Исходные данные_показатели ТЭЦ'!$AC$34-'Исходные данные_показатели ТЭЦ'!$AC$33)/1000</f>
        <v>5.4074610244844177</v>
      </c>
      <c r="F21" s="66">
        <f>(F16-F17)*('Исходные данные_показатели ТЭЦ'!$AP$35/1000)*('Исходные данные_показатели ТЭЦ'!$AP$34-'Исходные данные_показатели ТЭЦ'!$AP$33)/1000</f>
        <v>5.6449256235236707</v>
      </c>
      <c r="G21" s="209">
        <f>(G16-G17)*('Исходные данные_показатели ТЭЦ'!$BC$35/1000)*('Исходные данные_показатели ТЭЦ'!$BC$34-'Исходные данные_показатели ТЭЦ'!$BC$33)/1000</f>
        <v>5.7629611539841745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s="78" customFormat="1" ht="15" x14ac:dyDescent="0.25">
      <c r="A22"/>
      <c r="B22" s="71" t="s">
        <v>41</v>
      </c>
      <c r="C22" s="202" t="s">
        <v>37</v>
      </c>
      <c r="D22" s="72">
        <f>D18-D19-D20+D21</f>
        <v>3043.5243531040351</v>
      </c>
      <c r="E22" s="72">
        <f>E18-E19-E20+E21</f>
        <v>3040.1132760105038</v>
      </c>
      <c r="F22" s="72">
        <f>F18-F19-F20+F21</f>
        <v>2774.9728530034072</v>
      </c>
      <c r="G22" s="210">
        <f>G18-G19-G20+G21</f>
        <v>2973.0857812603635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</row>
    <row r="23" spans="1:43" s="79" customFormat="1" ht="16.5" customHeight="1" x14ac:dyDescent="0.25">
      <c r="A23"/>
      <c r="B23" s="71" t="s">
        <v>42</v>
      </c>
      <c r="C23" s="202" t="s">
        <v>37</v>
      </c>
      <c r="D23" s="66">
        <f>IF(D18&gt;D22,D18-D22,0)</f>
        <v>0.69864689596488461</v>
      </c>
      <c r="E23" s="66">
        <f>IF(E18&gt;E22,E18-E22,0)</f>
        <v>1.1437239894962659</v>
      </c>
      <c r="F23" s="66">
        <f>IF(F18&gt;F22,F18-F22,0)</f>
        <v>0.77114699659296093</v>
      </c>
      <c r="G23" s="209">
        <f>IF(G18&gt;G22,G18-G22,0)</f>
        <v>0.40321873963648613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</row>
    <row r="24" spans="1:43" s="79" customFormat="1" ht="16.5" customHeight="1" x14ac:dyDescent="0.25">
      <c r="A24"/>
      <c r="B24" s="354"/>
      <c r="C24" s="355"/>
      <c r="D24" s="356"/>
      <c r="E24" s="356"/>
      <c r="F24" s="357"/>
      <c r="G24" s="358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</row>
    <row r="25" spans="1:43" s="77" customFormat="1" ht="30" customHeight="1" x14ac:dyDescent="0.25">
      <c r="A25"/>
      <c r="B25" s="198" t="s">
        <v>114</v>
      </c>
      <c r="C25" s="204"/>
      <c r="D25" s="126" t="s">
        <v>54</v>
      </c>
      <c r="E25" s="126">
        <v>2022</v>
      </c>
      <c r="F25" s="133">
        <v>2023</v>
      </c>
      <c r="G25" s="135">
        <v>2024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</row>
    <row r="26" spans="1:43" s="77" customFormat="1" x14ac:dyDescent="0.25">
      <c r="A26"/>
      <c r="B26" s="61" t="s">
        <v>21</v>
      </c>
      <c r="C26" s="61" t="s">
        <v>2</v>
      </c>
      <c r="D26" s="61" t="s">
        <v>33</v>
      </c>
      <c r="E26" s="61" t="s">
        <v>33</v>
      </c>
      <c r="F26" s="109" t="s">
        <v>33</v>
      </c>
      <c r="G26" s="134" t="s">
        <v>33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</row>
    <row r="27" spans="1:43" s="78" customFormat="1" ht="15" x14ac:dyDescent="0.25">
      <c r="A27"/>
      <c r="B27" s="67" t="s">
        <v>34</v>
      </c>
      <c r="C27" s="201" t="s">
        <v>15</v>
      </c>
      <c r="D27" s="64">
        <f>SUM('Исходные данные_отпуск тепла'!$L$10:$Q$10)</f>
        <v>13.985612</v>
      </c>
      <c r="E27" s="64">
        <f>SUM('Исходные данные_отпуск тепла'!$R$10:$AC$10)</f>
        <v>46.600445999999998</v>
      </c>
      <c r="F27" s="111">
        <f>SUM('Исходные данные_отпуск тепла'!$AD$10:$AO$10)</f>
        <v>64.590667999999994</v>
      </c>
      <c r="G27" s="211">
        <f>SUM('Исходные данные_отпуск тепла'!$AP$10:$BA$10)</f>
        <v>84.160978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</row>
    <row r="28" spans="1:43" s="78" customFormat="1" ht="15" x14ac:dyDescent="0.25">
      <c r="A28"/>
      <c r="B28" s="68" t="s">
        <v>35</v>
      </c>
      <c r="C28" s="143" t="s">
        <v>15</v>
      </c>
      <c r="D28" s="66">
        <f>D27*'Исходные данные_показатели ТЭЦ'!$P$36</f>
        <v>3.1106919537779905</v>
      </c>
      <c r="E28" s="66">
        <f>E27*'Исходные данные_показатели ТЭЦ'!$AC$36</f>
        <v>8.3957390171909978</v>
      </c>
      <c r="F28" s="66">
        <f>F27*'Исходные данные_показатели ТЭЦ'!$AP$36</f>
        <v>9.8143526288199361</v>
      </c>
      <c r="G28" s="209">
        <f>G27*'Исходные данные_показатели ТЭЦ'!$BC$36</f>
        <v>14.081117044488815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</row>
    <row r="29" spans="1:43" s="78" customFormat="1" ht="15" x14ac:dyDescent="0.25">
      <c r="A29"/>
      <c r="B29" s="68" t="s">
        <v>36</v>
      </c>
      <c r="C29" s="143" t="s">
        <v>37</v>
      </c>
      <c r="D29" s="66">
        <f>'Исходные данные_показатели ТЭЦ'!$P$39/1000</f>
        <v>3044.223</v>
      </c>
      <c r="E29" s="66">
        <f>'Исходные данные_показатели ТЭЦ'!$AC$39/1000</f>
        <v>3041.2570000000001</v>
      </c>
      <c r="F29" s="66">
        <f>'Исходные данные_показатели ТЭЦ'!$AP$39/1000</f>
        <v>2775.7440000000001</v>
      </c>
      <c r="G29" s="209">
        <f>'Исходные данные_показатели ТЭЦ'!$BC$39/1000</f>
        <v>2973.489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s="78" customFormat="1" ht="18" customHeight="1" x14ac:dyDescent="0.25">
      <c r="A30"/>
      <c r="B30" s="70" t="s">
        <v>38</v>
      </c>
      <c r="C30" s="143" t="s">
        <v>37</v>
      </c>
      <c r="D30" s="66">
        <f>D28*'Исходные данные_показатели ТЭЦ'!$P$31/1000</f>
        <v>0.48095540544144089</v>
      </c>
      <c r="E30" s="66">
        <f>E28*'Исходные данные_показатели ТЭЦ'!$AC$31/1000</f>
        <v>1.2959525779012464</v>
      </c>
      <c r="F30" s="66">
        <f>F28*'Исходные данные_показатели ТЭЦ'!$AP$31/1000</f>
        <v>1.5089941598249967</v>
      </c>
      <c r="G30" s="209">
        <f>G28*'Исходные данные_показатели ТЭЦ'!$BC$31/1000</f>
        <v>2.1763044694622962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</row>
    <row r="31" spans="1:43" s="78" customFormat="1" ht="30" x14ac:dyDescent="0.25">
      <c r="A31"/>
      <c r="B31" s="70" t="s">
        <v>39</v>
      </c>
      <c r="C31" s="143" t="s">
        <v>37</v>
      </c>
      <c r="D31" s="66">
        <f>(D27-D28)*'Исходные данные_показатели ТЭЦ'!$P$32/1000</f>
        <v>1.8672081029512435</v>
      </c>
      <c r="E31" s="66">
        <f>(E27-E28)*'Исходные данные_показатели ТЭЦ'!$AC$32/1000</f>
        <v>6.5773843531167531</v>
      </c>
      <c r="F31" s="66">
        <f>(F27-F28)*'Исходные данные_показатели ТЭЦ'!$AP$32/1000</f>
        <v>9.4420219726739347</v>
      </c>
      <c r="G31" s="209">
        <f>(G27-G28)*'Исходные данные_показатели ТЭЦ'!$BC$32/1000</f>
        <v>12.005860670048431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</row>
    <row r="32" spans="1:43" s="78" customFormat="1" ht="15" x14ac:dyDescent="0.25">
      <c r="A32"/>
      <c r="B32" s="68" t="s">
        <v>40</v>
      </c>
      <c r="C32" s="143" t="s">
        <v>37</v>
      </c>
      <c r="D32" s="66">
        <f>(D27-D28)*('Исходные данные_показатели ТЭЦ'!$P$35/1000)*('Исходные данные_показатели ТЭЦ'!$P$34-'Исходные данные_показатели ТЭЦ'!$P$33)/1000</f>
        <v>1.7683126024693019</v>
      </c>
      <c r="E32" s="66">
        <f>(E27-E28)*('Исходные данные_показатели ТЭЦ'!$AC$35/1000)*('Исходные данные_показатели ТЭЦ'!$AC$34-'Исходные данные_показатели ТЭЦ'!$AC$33)/1000</f>
        <v>6.4987880049577083</v>
      </c>
      <c r="F32" s="66">
        <f>(F27-F28)*('Исходные данные_показатели ТЭЦ'!$AP$35/1000)*('Исходные данные_показатели ТЭЦ'!$AP$34-'Исходные данные_показатели ТЭЦ'!$AP$33)/1000</f>
        <v>9.6348148205404129</v>
      </c>
      <c r="G32" s="209">
        <f>(G27-G28)*('Исходные данные_показатели ТЭЦ'!$BC$35/1000)*('Исходные данные_показатели ТЭЦ'!$BC$34-'Исходные данные_показатели ТЭЦ'!$BC$33)/1000</f>
        <v>13.254765217432041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</row>
    <row r="33" spans="1:43" s="78" customFormat="1" ht="15" x14ac:dyDescent="0.25">
      <c r="A33"/>
      <c r="B33" s="71" t="s">
        <v>41</v>
      </c>
      <c r="C33" s="202" t="s">
        <v>37</v>
      </c>
      <c r="D33" s="72">
        <f>D29-D30-D31+D32</f>
        <v>3043.6431490940768</v>
      </c>
      <c r="E33" s="72">
        <f>E29-E30-E31+E32</f>
        <v>3039.8824510739396</v>
      </c>
      <c r="F33" s="72">
        <f>F29-F30-F31+F32</f>
        <v>2774.4277986880415</v>
      </c>
      <c r="G33" s="210">
        <f>G29-G30-G31+G32</f>
        <v>2972.5616000779214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</row>
    <row r="34" spans="1:43" s="79" customFormat="1" ht="16.5" customHeight="1" x14ac:dyDescent="0.25">
      <c r="A34"/>
      <c r="B34" s="71" t="s">
        <v>42</v>
      </c>
      <c r="C34" s="202" t="s">
        <v>37</v>
      </c>
      <c r="D34" s="66">
        <f>IF(D29&gt;D33,D29-D33,0)</f>
        <v>0.57985090592319466</v>
      </c>
      <c r="E34" s="66">
        <f>IF(E29&gt;E33,E29-E33,0)</f>
        <v>1.37454892606047</v>
      </c>
      <c r="F34" s="66">
        <f>IF(F29&gt;F33,F29-F33,0)</f>
        <v>1.3162013119585936</v>
      </c>
      <c r="G34" s="209">
        <f>IF(G29&gt;G33,G29-G33,0)</f>
        <v>0.92739992207862088</v>
      </c>
      <c r="H34"/>
      <c r="I34"/>
      <c r="J34" s="359"/>
      <c r="K34" s="359"/>
      <c r="L34" s="359"/>
      <c r="M34" s="359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</row>
    <row r="35" spans="1:43" s="76" customFormat="1" ht="19.5" customHeight="1" x14ac:dyDescent="0.25">
      <c r="A35"/>
      <c r="B35" s="74"/>
      <c r="C35" s="203"/>
      <c r="D35" s="75"/>
      <c r="E35" s="75"/>
      <c r="F35" s="74"/>
      <c r="G35" s="114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</row>
    <row r="36" spans="1:43" s="77" customFormat="1" ht="30" customHeight="1" x14ac:dyDescent="0.25">
      <c r="A36"/>
      <c r="B36" s="198" t="s">
        <v>115</v>
      </c>
      <c r="C36" s="204"/>
      <c r="D36" s="126" t="s">
        <v>54</v>
      </c>
      <c r="E36" s="126">
        <v>2022</v>
      </c>
      <c r="F36" s="133">
        <v>2023</v>
      </c>
      <c r="G36" s="135">
        <v>2024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</row>
    <row r="37" spans="1:43" s="77" customFormat="1" x14ac:dyDescent="0.25">
      <c r="A37"/>
      <c r="B37" s="61" t="s">
        <v>21</v>
      </c>
      <c r="C37" s="61" t="s">
        <v>2</v>
      </c>
      <c r="D37" s="61" t="s">
        <v>33</v>
      </c>
      <c r="E37" s="61" t="s">
        <v>33</v>
      </c>
      <c r="F37" s="109" t="s">
        <v>33</v>
      </c>
      <c r="G37" s="134" t="s">
        <v>33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</row>
    <row r="38" spans="1:43" s="78" customFormat="1" ht="15" x14ac:dyDescent="0.25">
      <c r="A38"/>
      <c r="B38" s="67" t="s">
        <v>34</v>
      </c>
      <c r="C38" s="201" t="s">
        <v>15</v>
      </c>
      <c r="D38" s="64">
        <f>SUM('Исходные данные_отпуск тепла'!F17:Q17)</f>
        <v>30.721299999999999</v>
      </c>
      <c r="E38" s="64">
        <f>SUM('Исходные данные_отпуск тепла'!R17:AC17)</f>
        <v>62.207599999999999</v>
      </c>
      <c r="F38" s="111">
        <f>SUM('Исходные данные_отпуск тепла'!AD17:AO17)</f>
        <v>87.920999999999992</v>
      </c>
      <c r="G38" s="211">
        <f>SUM('Исходные данные_отпуск тепла'!AP17:BA17)</f>
        <v>59.739899999999999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</row>
    <row r="39" spans="1:43" s="78" customFormat="1" ht="15" x14ac:dyDescent="0.25">
      <c r="A39"/>
      <c r="B39" s="68" t="s">
        <v>35</v>
      </c>
      <c r="C39" s="143" t="s">
        <v>15</v>
      </c>
      <c r="D39" s="66">
        <f>D38*'Исходные данные_показатели ТЭЦ'!P55</f>
        <v>5.7270528187370617</v>
      </c>
      <c r="E39" s="66">
        <f>E38*'Исходные данные_показатели ТЭЦ'!AC55</f>
        <v>12.950116093061789</v>
      </c>
      <c r="F39" s="66">
        <f>F38*'Исходные данные_показатели ТЭЦ'!AP55</f>
        <v>19.449111260033053</v>
      </c>
      <c r="G39" s="209">
        <f>G38*'Исходные данные_показатели ТЭЦ'!BC55</f>
        <v>14.555517522010396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43" s="78" customFormat="1" ht="15" x14ac:dyDescent="0.25">
      <c r="A40"/>
      <c r="B40" s="68" t="s">
        <v>36</v>
      </c>
      <c r="C40" s="143" t="s">
        <v>37</v>
      </c>
      <c r="D40" s="66">
        <f>'Исходные данные_показатели ТЭЦ'!P58/1000</f>
        <v>3266.346</v>
      </c>
      <c r="E40" s="66">
        <f>'Исходные данные_показатели ТЭЦ'!AC58/1000</f>
        <v>3070.0349999999999</v>
      </c>
      <c r="F40" s="66">
        <f>'Исходные данные_показатели ТЭЦ'!AP58/1000</f>
        <v>3243.1790000000001</v>
      </c>
      <c r="G40" s="209">
        <f>'Исходные данные_показатели ТЭЦ'!BC58/1000</f>
        <v>3164.5909999999999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43" s="78" customFormat="1" ht="18" customHeight="1" x14ac:dyDescent="0.25">
      <c r="A41"/>
      <c r="B41" s="70" t="s">
        <v>38</v>
      </c>
      <c r="C41" s="143" t="s">
        <v>37</v>
      </c>
      <c r="D41" s="66">
        <f>D39*'Исходные данные_показатели ТЭЦ'!P50/1000</f>
        <v>0.87992274325737274</v>
      </c>
      <c r="E41" s="66">
        <f>E39*'Исходные данные_показатели ТЭЦ'!AC50/1000</f>
        <v>1.9868242859516265</v>
      </c>
      <c r="F41" s="66">
        <f>F39*'Исходные данные_показатели ТЭЦ'!AP50/1000</f>
        <v>2.9830405393593598</v>
      </c>
      <c r="G41" s="209">
        <f>G39*'Исходные данные_показатели ТЭЦ'!BC50/1000</f>
        <v>2.2346908774601162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</row>
    <row r="42" spans="1:43" s="78" customFormat="1" ht="30" x14ac:dyDescent="0.25">
      <c r="A42"/>
      <c r="B42" s="70" t="s">
        <v>39</v>
      </c>
      <c r="C42" s="143" t="s">
        <v>37</v>
      </c>
      <c r="D42" s="66">
        <f>(D38-D39)*'Исходные данные_показатели ТЭЦ'!P51/1000</f>
        <v>4.2026496584443125</v>
      </c>
      <c r="E42" s="66">
        <f>(E38-E39)*'Исходные данные_показатели ТЭЦ'!AC51/1000</f>
        <v>8.3334956174262924</v>
      </c>
      <c r="F42" s="66">
        <f>(F38-F39)*'Исходные данные_показатели ТЭЦ'!AP51/1000</f>
        <v>11.686207120298858</v>
      </c>
      <c r="G42" s="209">
        <f>(G38-G39)*'Исходные данные_показатели ТЭЦ'!BC51/1000</f>
        <v>7.6638722774135948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</row>
    <row r="43" spans="1:43" ht="15" x14ac:dyDescent="0.25">
      <c r="B43" s="68" t="s">
        <v>40</v>
      </c>
      <c r="C43" s="143" t="s">
        <v>37</v>
      </c>
      <c r="D43" s="66">
        <f>(D38-D39)*('Исходные данные_показатели ТЭЦ'!P54/1000)*('Исходные данные_показатели ТЭЦ'!P53-'Исходные данные_показатели ТЭЦ'!P52)/1000</f>
        <v>4.2740532270033045</v>
      </c>
      <c r="E43" s="66">
        <f>(E38-E39)*('Исходные данные_показатели ТЭЦ'!AC54/1000)*('Исходные данные_показатели ТЭЦ'!AC53-'Исходные данные_показатели ТЭЦ'!AC52)/1000</f>
        <v>8.6892273422604145</v>
      </c>
      <c r="F43" s="66">
        <f>(F38-F39)*('Исходные данные_показатели ТЭЦ'!AP54/1000)*('Исходные данные_показатели ТЭЦ'!AP53-'Исходные данные_показатели ТЭЦ'!AP52)/1000</f>
        <v>12.597325252616651</v>
      </c>
      <c r="G43" s="209">
        <f>(G38-G39)*('Исходные данные_показатели ТЭЦ'!BC54/1000)*('Исходные данные_показатели ТЭЦ'!BC53-'Исходные данные_показатели ТЭЦ'!BC52)/1000</f>
        <v>7.8117457514394202</v>
      </c>
    </row>
    <row r="44" spans="1:43" s="78" customFormat="1" ht="15" x14ac:dyDescent="0.25">
      <c r="A44"/>
      <c r="B44" s="71" t="s">
        <v>41</v>
      </c>
      <c r="C44" s="202" t="s">
        <v>37</v>
      </c>
      <c r="D44" s="72">
        <f>D40-D41-D42+D43</f>
        <v>3265.5374808253014</v>
      </c>
      <c r="E44" s="72">
        <f>E40-E41-E42+E43</f>
        <v>3068.4039074388825</v>
      </c>
      <c r="F44" s="72">
        <f>F40-F41-F42+F43</f>
        <v>3241.1070775929579</v>
      </c>
      <c r="G44" s="210">
        <f>G40-G41-G42+G43</f>
        <v>3162.5041825965654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43" s="79" customFormat="1" ht="16.5" customHeight="1" x14ac:dyDescent="0.25">
      <c r="A45"/>
      <c r="B45" s="71" t="s">
        <v>42</v>
      </c>
      <c r="C45" s="202" t="s">
        <v>37</v>
      </c>
      <c r="D45" s="66">
        <f>IF(D40&gt;D44,D40-D44,0)</f>
        <v>0.8085191746986311</v>
      </c>
      <c r="E45" s="66">
        <f>IF(E40&gt;E44,E40-E44,0)</f>
        <v>1.6310925611173843</v>
      </c>
      <c r="F45" s="66">
        <f>IF(F40&gt;F44,F40-F44,0)</f>
        <v>2.071922407042166</v>
      </c>
      <c r="G45" s="209">
        <f>IF(G40&gt;G44,G40-G44,0)</f>
        <v>2.086817403434452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</row>
    <row r="48" spans="1:43" s="77" customFormat="1" ht="30" customHeight="1" x14ac:dyDescent="0.25">
      <c r="A48"/>
      <c r="B48" s="198" t="s">
        <v>116</v>
      </c>
      <c r="C48" s="204"/>
      <c r="D48" s="126" t="s">
        <v>54</v>
      </c>
      <c r="E48" s="126">
        <v>2022</v>
      </c>
      <c r="F48" s="133">
        <v>2023</v>
      </c>
      <c r="G48" s="135">
        <v>2024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s="77" customFormat="1" x14ac:dyDescent="0.25">
      <c r="A49"/>
      <c r="B49" s="61" t="s">
        <v>21</v>
      </c>
      <c r="C49" s="61" t="s">
        <v>2</v>
      </c>
      <c r="D49" s="61" t="s">
        <v>33</v>
      </c>
      <c r="E49" s="61" t="s">
        <v>33</v>
      </c>
      <c r="F49" s="109" t="s">
        <v>33</v>
      </c>
      <c r="G49" s="134" t="s">
        <v>33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</row>
    <row r="50" spans="1:43" s="78" customFormat="1" ht="15" x14ac:dyDescent="0.25">
      <c r="A50"/>
      <c r="B50" s="67" t="s">
        <v>34</v>
      </c>
      <c r="C50" s="201" t="s">
        <v>15</v>
      </c>
      <c r="D50" s="64">
        <f>SUM('Исходные данные_отпуск тепла'!$F$9:$Q9)</f>
        <v>0</v>
      </c>
      <c r="E50" s="64">
        <f>SUM('Исходные данные_отпуск тепла'!$R$9:$AC$9)</f>
        <v>1.5860690000000002</v>
      </c>
      <c r="F50" s="111">
        <f>SUM('Исходные данные_отпуск тепла'!$AD$9:$AO$9)</f>
        <v>4.9927029999999997</v>
      </c>
      <c r="G50" s="211">
        <f>SUM('Исходные данные_отпуск тепла'!$AP$9:$BA$9)</f>
        <v>4.5959430000000001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1:43" s="78" customFormat="1" ht="15" x14ac:dyDescent="0.25">
      <c r="A51"/>
      <c r="B51" s="68" t="s">
        <v>35</v>
      </c>
      <c r="C51" s="143" t="s">
        <v>15</v>
      </c>
      <c r="D51" s="66">
        <f>D50*'Исходные данные_показатели ТЭЦ'!$P$74</f>
        <v>0</v>
      </c>
      <c r="E51" s="66">
        <f>E50*'Исходные данные_показатели ТЭЦ'!$AC$74</f>
        <v>0.23074790010352061</v>
      </c>
      <c r="F51" s="66">
        <f>F50*'Исходные данные_показатели ТЭЦ'!$AP$74</f>
        <v>0.6716068639243894</v>
      </c>
      <c r="G51" s="209">
        <f>G50*'Исходные данные_показатели ТЭЦ'!$BC$74</f>
        <v>0.81427323102139471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</row>
    <row r="52" spans="1:43" s="78" customFormat="1" ht="15" x14ac:dyDescent="0.25">
      <c r="A52"/>
      <c r="B52" s="68" t="s">
        <v>36</v>
      </c>
      <c r="C52" s="143" t="s">
        <v>37</v>
      </c>
      <c r="D52" s="66">
        <f>'Исходные данные_показатели ТЭЦ'!$P$77/1000</f>
        <v>3849.5259999999998</v>
      </c>
      <c r="E52" s="66">
        <f>'Исходные данные_показатели ТЭЦ'!$AC$77/1000</f>
        <v>3776.23</v>
      </c>
      <c r="F52" s="66">
        <f>'Исходные данные_показатели ТЭЦ'!$AP$77/1000</f>
        <v>3910.4319999999998</v>
      </c>
      <c r="G52" s="209">
        <f>'Исходные данные_показатели ТЭЦ'!$BC$77/1000</f>
        <v>4043.8969999999999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</row>
    <row r="53" spans="1:43" s="78" customFormat="1" ht="18" customHeight="1" x14ac:dyDescent="0.25">
      <c r="A53"/>
      <c r="B53" s="70" t="s">
        <v>38</v>
      </c>
      <c r="C53" s="143" t="s">
        <v>37</v>
      </c>
      <c r="D53" s="66">
        <f>D51*'Исходные данные_показатели ТЭЦ'!$P$69/1000</f>
        <v>0</v>
      </c>
      <c r="E53" s="66">
        <f>E51*'Исходные данные_показатели ТЭЦ'!$AC$69/1000</f>
        <v>3.5480298975130768E-2</v>
      </c>
      <c r="F53" s="66">
        <f>F51*'Исходные данные_показатели ТЭЦ'!$AP$69/1000</f>
        <v>0.10319756072911589</v>
      </c>
      <c r="G53" s="209">
        <f>G51*'Исходные данные_показатели ТЭЦ'!$BC$69/1000</f>
        <v>0.12443858447634372</v>
      </c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</row>
    <row r="54" spans="1:43" s="78" customFormat="1" ht="30" x14ac:dyDescent="0.25">
      <c r="A54"/>
      <c r="B54" s="70" t="s">
        <v>39</v>
      </c>
      <c r="C54" s="143" t="s">
        <v>37</v>
      </c>
      <c r="D54" s="66">
        <f>(D50-D51)*'Исходные данные_показатели ТЭЦ'!$P$70/1000</f>
        <v>0</v>
      </c>
      <c r="E54" s="66">
        <f>(E50-E51)*'Исходные данные_показатели ТЭЦ'!$AC$70/1000</f>
        <v>0.23005929333009789</v>
      </c>
      <c r="F54" s="66">
        <f>(F50-F51)*'Исходные данные_показатели ТЭЦ'!$AP$70/1000</f>
        <v>0.73615537521499741</v>
      </c>
      <c r="G54" s="209">
        <f>(G50-G51)*'Исходные данные_показатели ТЭЦ'!$BC$70/1000</f>
        <v>0.64300020033563487</v>
      </c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</row>
    <row r="55" spans="1:43" ht="15" x14ac:dyDescent="0.25">
      <c r="B55" s="68" t="s">
        <v>40</v>
      </c>
      <c r="C55" s="143" t="s">
        <v>37</v>
      </c>
      <c r="D55" s="66">
        <f>(D50-D51)*('Исходные данные_показатели ТЭЦ'!$P$73/1000)*('Исходные данные_показатели ТЭЦ'!$P$72-'Исходные данные_показатели ТЭЦ'!$P$71)/1000</f>
        <v>0</v>
      </c>
      <c r="E55" s="66">
        <f>(E50-E51)*('Исходные данные_показатели ТЭЦ'!$AC$73/1000)*('Исходные данные_показатели ТЭЦ'!$AC$72-'Исходные данные_показатели ТЭЦ'!$AC$71)/1000</f>
        <v>0.20608228092818456</v>
      </c>
      <c r="F55" s="66">
        <f>(F50-F51)*('Исходные данные_показатели ТЭЦ'!$AP$73/1000)*('Исходные данные_показатели ТЭЦ'!$AP$72-'Исходные данные_показатели ТЭЦ'!$AP$71)/1000</f>
        <v>0.58390341718528982</v>
      </c>
      <c r="G55" s="209">
        <f>(G50-G51)*('Исходные данные_показатели ТЭЦ'!$BC$73/1000)*('Исходные данные_показатели ТЭЦ'!$BC$72-'Исходные данные_показатели ТЭЦ'!$BC$71)/1000</f>
        <v>0.57553650709630721</v>
      </c>
    </row>
    <row r="56" spans="1:43" s="78" customFormat="1" ht="15" x14ac:dyDescent="0.25">
      <c r="A56"/>
      <c r="B56" s="71" t="s">
        <v>41</v>
      </c>
      <c r="C56" s="202" t="s">
        <v>37</v>
      </c>
      <c r="D56" s="72">
        <f>D52-D53-D54+D55</f>
        <v>3849.5259999999998</v>
      </c>
      <c r="E56" s="72">
        <f>E52-E53-E54+E55</f>
        <v>3776.1705426886228</v>
      </c>
      <c r="F56" s="72">
        <f>F52-F53-F54+F55</f>
        <v>3910.1765504812411</v>
      </c>
      <c r="G56" s="210">
        <f>G52-G53-G54+G55</f>
        <v>4043.7050977222843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</row>
    <row r="57" spans="1:43" s="79" customFormat="1" ht="16.5" customHeight="1" x14ac:dyDescent="0.25">
      <c r="A57"/>
      <c r="B57" s="71" t="s">
        <v>42</v>
      </c>
      <c r="C57" s="202" t="s">
        <v>37</v>
      </c>
      <c r="D57" s="66">
        <f>IF(D52&gt;D56,D52-D56,0)</f>
        <v>0</v>
      </c>
      <c r="E57" s="66">
        <f>IF(E52&gt;E56,E52-E56,0)</f>
        <v>5.9457311377173028E-2</v>
      </c>
      <c r="F57" s="66">
        <f>IF(F52&gt;F56,F52-F56,0)</f>
        <v>0.25544951875872357</v>
      </c>
      <c r="G57" s="209">
        <f>IF(G52&gt;G56,G52-G56,0)</f>
        <v>0.19190227771559876</v>
      </c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</row>
    <row r="60" spans="1:43" s="77" customFormat="1" ht="30" customHeight="1" x14ac:dyDescent="0.25">
      <c r="A60"/>
      <c r="B60" s="198" t="s">
        <v>118</v>
      </c>
      <c r="C60" s="204"/>
      <c r="D60" s="126" t="s">
        <v>54</v>
      </c>
      <c r="E60" s="126">
        <v>2022</v>
      </c>
      <c r="F60" s="133">
        <v>2023</v>
      </c>
      <c r="G60" s="135">
        <v>2024</v>
      </c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</row>
    <row r="61" spans="1:43" s="77" customFormat="1" x14ac:dyDescent="0.25">
      <c r="A61"/>
      <c r="B61" s="61" t="s">
        <v>21</v>
      </c>
      <c r="C61" s="61" t="s">
        <v>2</v>
      </c>
      <c r="D61" s="61" t="s">
        <v>33</v>
      </c>
      <c r="E61" s="61" t="s">
        <v>33</v>
      </c>
      <c r="F61" s="109" t="s">
        <v>33</v>
      </c>
      <c r="G61" s="134" t="s">
        <v>33</v>
      </c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</row>
    <row r="62" spans="1:43" s="78" customFormat="1" ht="15" x14ac:dyDescent="0.25">
      <c r="A62"/>
      <c r="B62" s="67" t="s">
        <v>34</v>
      </c>
      <c r="C62" s="201" t="s">
        <v>15</v>
      </c>
      <c r="D62" s="64">
        <f>SUM('Исходные данные_отпуск тепла'!$F$11:$Q$11)</f>
        <v>0</v>
      </c>
      <c r="E62" s="64">
        <f>SUM('Исходные данные_отпуск тепла'!$R$11:$AC$11)</f>
        <v>0</v>
      </c>
      <c r="F62" s="111">
        <f>SUM('Исходные данные_отпуск тепла'!$AD$11:$AO$11)</f>
        <v>0</v>
      </c>
      <c r="G62" s="211">
        <f>SUM('Исходные данные_отпуск тепла'!$AP$11:$BA$11)</f>
        <v>75.263500000000008</v>
      </c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</row>
    <row r="63" spans="1:43" s="78" customFormat="1" ht="15" x14ac:dyDescent="0.25">
      <c r="A63"/>
      <c r="B63" s="68" t="s">
        <v>35</v>
      </c>
      <c r="C63" s="143" t="s">
        <v>15</v>
      </c>
      <c r="D63" s="66">
        <f>D62*'Исходные данные_показатели ТЭЦ'!$P$74</f>
        <v>0</v>
      </c>
      <c r="E63" s="66">
        <f>E62*'Исходные данные_показатели ТЭЦ'!$AC$74</f>
        <v>0</v>
      </c>
      <c r="F63" s="66">
        <f>F62*'Исходные данные_показатели ТЭЦ'!$AP$74</f>
        <v>0</v>
      </c>
      <c r="G63" s="209">
        <f>G62*'Исходные данные_показатели ТЭЦ'!$BC$74</f>
        <v>13.334598214768709</v>
      </c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</row>
    <row r="64" spans="1:43" s="78" customFormat="1" ht="15" x14ac:dyDescent="0.25">
      <c r="A64"/>
      <c r="B64" s="68" t="s">
        <v>36</v>
      </c>
      <c r="C64" s="143" t="s">
        <v>37</v>
      </c>
      <c r="D64" s="66">
        <f>'Исходные данные_показатели ТЭЦ'!$P$77/1000</f>
        <v>3849.5259999999998</v>
      </c>
      <c r="E64" s="66">
        <f>'Исходные данные_показатели ТЭЦ'!$AC$77/1000</f>
        <v>3776.23</v>
      </c>
      <c r="F64" s="66">
        <f>'Исходные данные_показатели ТЭЦ'!$AP$77/1000</f>
        <v>3910.4319999999998</v>
      </c>
      <c r="G64" s="209">
        <f>'Исходные данные_показатели ТЭЦ'!$BC$77/1000</f>
        <v>4043.8969999999999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</row>
    <row r="65" spans="1:43" s="78" customFormat="1" ht="18" customHeight="1" x14ac:dyDescent="0.25">
      <c r="A65"/>
      <c r="B65" s="70" t="s">
        <v>38</v>
      </c>
      <c r="C65" s="143" t="s">
        <v>37</v>
      </c>
      <c r="D65" s="66">
        <f>D63*'Исходные данные_показатели ТЭЦ'!$P$69/1000</f>
        <v>0</v>
      </c>
      <c r="E65" s="66">
        <f>E63*'Исходные данные_показатели ТЭЦ'!$AC$69/1000</f>
        <v>0</v>
      </c>
      <c r="F65" s="66">
        <f>F63*'Исходные данные_показатели ТЭЦ'!$AP$69/1000</f>
        <v>0</v>
      </c>
      <c r="G65" s="209">
        <f>G63*'Исходные данные_показатели ТЭЦ'!$BC$69/1000</f>
        <v>2.037815395607669</v>
      </c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</row>
    <row r="66" spans="1:43" s="78" customFormat="1" ht="30" x14ac:dyDescent="0.25">
      <c r="A66"/>
      <c r="B66" s="70" t="s">
        <v>39</v>
      </c>
      <c r="C66" s="143" t="s">
        <v>37</v>
      </c>
      <c r="D66" s="66">
        <f>(D62-D63)*'Исходные данные_показатели ТЭЦ'!$P$70/1000</f>
        <v>0</v>
      </c>
      <c r="E66" s="66">
        <f>(E62-E63)*'Исходные данные_показатели ТЭЦ'!$AC$70/1000</f>
        <v>0</v>
      </c>
      <c r="F66" s="66">
        <f>(F62-F63)*'Исходные данные_показатели ТЭЦ'!$AP$70/1000</f>
        <v>0</v>
      </c>
      <c r="G66" s="209">
        <f>(G62-G63)*'Исходные данные_показатели ТЭЦ'!$BC$70/1000</f>
        <v>10.52981848947236</v>
      </c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</row>
    <row r="67" spans="1:43" ht="15" x14ac:dyDescent="0.25">
      <c r="B67" s="68" t="s">
        <v>40</v>
      </c>
      <c r="C67" s="143" t="s">
        <v>37</v>
      </c>
      <c r="D67" s="66">
        <f>(D62-D63)*('Исходные данные_показатели ТЭЦ'!$P$73/1000)*('Исходные данные_показатели ТЭЦ'!$P$72-'Исходные данные_показатели ТЭЦ'!$P$71)/1000</f>
        <v>0</v>
      </c>
      <c r="E67" s="66">
        <f>(E62-E63)*('Исходные данные_показатели ТЭЦ'!$AC$73/1000)*('Исходные данные_показатели ТЭЦ'!$AC$72-'Исходные данные_показатели ТЭЦ'!$AC$71)/1000</f>
        <v>0</v>
      </c>
      <c r="F67" s="66">
        <f>(F62-F63)*('Исходные данные_показатели ТЭЦ'!$AP$73/1000)*('Исходные данные_показатели ТЭЦ'!$AP$72-'Исходные данные_показатели ТЭЦ'!$AP$71)/1000</f>
        <v>0</v>
      </c>
      <c r="G67" s="209">
        <f>(G62-G63)*('Исходные данные_показатели ТЭЦ'!$BC$73/1000)*('Исходные данные_показатели ТЭЦ'!$BC$72-'Исходные данные_показатели ТЭЦ'!$BC$71)/1000</f>
        <v>9.4250280958321113</v>
      </c>
    </row>
    <row r="68" spans="1:43" s="78" customFormat="1" ht="15" x14ac:dyDescent="0.25">
      <c r="A68"/>
      <c r="B68" s="71" t="s">
        <v>41</v>
      </c>
      <c r="C68" s="202" t="s">
        <v>37</v>
      </c>
      <c r="D68" s="72">
        <f>D64-D65-D66+D67</f>
        <v>3849.5259999999998</v>
      </c>
      <c r="E68" s="72">
        <f>E64-E65-E66+E67</f>
        <v>3776.23</v>
      </c>
      <c r="F68" s="72">
        <f>F64-F65-F66+F67</f>
        <v>3910.4319999999998</v>
      </c>
      <c r="G68" s="210">
        <f>G64-G65-G66+G67</f>
        <v>4040.7543942107523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</row>
    <row r="69" spans="1:43" s="79" customFormat="1" ht="16.5" customHeight="1" x14ac:dyDescent="0.25">
      <c r="A69"/>
      <c r="B69" s="71" t="s">
        <v>42</v>
      </c>
      <c r="C69" s="202" t="s">
        <v>37</v>
      </c>
      <c r="D69" s="66">
        <f>IF(D64&gt;D68,D64-D68,0)</f>
        <v>0</v>
      </c>
      <c r="E69" s="66">
        <f>IF(E64&gt;E68,E64-E68,0)</f>
        <v>0</v>
      </c>
      <c r="F69" s="66">
        <f>IF(F64&gt;F68,F64-F68,0)</f>
        <v>0</v>
      </c>
      <c r="G69" s="209">
        <f>IF(G64&gt;G68,G64-G68,0)</f>
        <v>3.142605789247682</v>
      </c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</row>
    <row r="72" spans="1:43" s="77" customFormat="1" ht="30" customHeight="1" x14ac:dyDescent="0.25">
      <c r="A72"/>
      <c r="B72" s="198" t="s">
        <v>119</v>
      </c>
      <c r="C72" s="204"/>
      <c r="D72" s="126" t="s">
        <v>54</v>
      </c>
      <c r="E72" s="126">
        <v>2022</v>
      </c>
      <c r="F72" s="133">
        <v>2023</v>
      </c>
      <c r="G72" s="135">
        <v>2024</v>
      </c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</row>
    <row r="73" spans="1:43" s="77" customFormat="1" x14ac:dyDescent="0.25">
      <c r="A73"/>
      <c r="B73" s="61" t="s">
        <v>21</v>
      </c>
      <c r="C73" s="61" t="s">
        <v>2</v>
      </c>
      <c r="D73" s="61" t="s">
        <v>33</v>
      </c>
      <c r="E73" s="61" t="s">
        <v>33</v>
      </c>
      <c r="F73" s="109" t="s">
        <v>33</v>
      </c>
      <c r="G73" s="134" t="s">
        <v>33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</row>
    <row r="74" spans="1:43" s="78" customFormat="1" ht="15" x14ac:dyDescent="0.25">
      <c r="A74"/>
      <c r="B74" s="67" t="s">
        <v>34</v>
      </c>
      <c r="C74" s="201" t="s">
        <v>15</v>
      </c>
      <c r="D74" s="64">
        <f>SUM('Исходные данные_отпуск тепла'!$F$12:$Q$12)</f>
        <v>0</v>
      </c>
      <c r="E74" s="64">
        <f>SUM('Исходные данные_отпуск тепла'!$R$12:$AC$12)</f>
        <v>0</v>
      </c>
      <c r="F74" s="111">
        <f>SUM('Исходные данные_отпуск тепла'!$AD$12:$AO$12)</f>
        <v>58.968200000000003</v>
      </c>
      <c r="G74" s="211">
        <f>SUM('Исходные данные_отпуск тепла'!$AP$12:$BA$12)</f>
        <v>134.75600000000003</v>
      </c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</row>
    <row r="75" spans="1:43" s="78" customFormat="1" ht="15" x14ac:dyDescent="0.25">
      <c r="A75"/>
      <c r="B75" s="68" t="s">
        <v>35</v>
      </c>
      <c r="C75" s="143" t="s">
        <v>15</v>
      </c>
      <c r="D75" s="66">
        <f>D74*'Исходные данные_показатели ТЭЦ'!$P$74</f>
        <v>0</v>
      </c>
      <c r="E75" s="66">
        <f>E74*'Исходные данные_показатели ТЭЦ'!$AC$74</f>
        <v>0</v>
      </c>
      <c r="F75" s="66">
        <f>F74*'Исходные данные_показатели ТЭЦ'!$AP$74</f>
        <v>7.9322659235420545</v>
      </c>
      <c r="G75" s="209">
        <f>G74*'Исходные данные_показатели ТЭЦ'!$BC$74</f>
        <v>23.875014011165735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</row>
    <row r="76" spans="1:43" s="78" customFormat="1" ht="15" x14ac:dyDescent="0.25">
      <c r="A76"/>
      <c r="B76" s="68" t="s">
        <v>36</v>
      </c>
      <c r="C76" s="143" t="s">
        <v>37</v>
      </c>
      <c r="D76" s="66">
        <f>'Исходные данные_показатели ТЭЦ'!$P$77/1000</f>
        <v>3849.5259999999998</v>
      </c>
      <c r="E76" s="66">
        <f>'Исходные данные_показатели ТЭЦ'!$AC$77/1000</f>
        <v>3776.23</v>
      </c>
      <c r="F76" s="66">
        <f>'Исходные данные_показатели ТЭЦ'!$AP$77/1000</f>
        <v>3910.4319999999998</v>
      </c>
      <c r="G76" s="209">
        <f>'Исходные данные_показатели ТЭЦ'!$BC$77/1000</f>
        <v>4043.8969999999999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</row>
    <row r="77" spans="1:43" s="78" customFormat="1" ht="18" customHeight="1" x14ac:dyDescent="0.25">
      <c r="A77"/>
      <c r="B77" s="70" t="s">
        <v>38</v>
      </c>
      <c r="C77" s="143" t="s">
        <v>37</v>
      </c>
      <c r="D77" s="66">
        <f>D75*'Исходные данные_показатели ТЭЦ'!$P$69/1000</f>
        <v>0</v>
      </c>
      <c r="E77" s="66">
        <f>E75*'Исходные данные_показатели ТЭЦ'!$AC$69/1000</f>
        <v>0</v>
      </c>
      <c r="F77" s="66">
        <f>F75*'Исходные данные_показатели ТЭЦ'!$AP$69/1000</f>
        <v>1.218853675170875</v>
      </c>
      <c r="G77" s="209">
        <f>G75*'Исходные данные_показатели ТЭЦ'!$BC$69/1000</f>
        <v>3.6486192038704957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</row>
    <row r="78" spans="1:43" s="78" customFormat="1" ht="30" x14ac:dyDescent="0.25">
      <c r="A78"/>
      <c r="B78" s="70" t="s">
        <v>39</v>
      </c>
      <c r="C78" s="143" t="s">
        <v>37</v>
      </c>
      <c r="D78" s="66">
        <f>(D74-D75)*'Исходные данные_показатели ТЭЦ'!$P$70/1000</f>
        <v>0</v>
      </c>
      <c r="E78" s="66">
        <f>(E74-E75)*'Исходные данные_показатели ТЭЦ'!$AC$70/1000</f>
        <v>0</v>
      </c>
      <c r="F78" s="66">
        <f>(F74-F75)*'Исходные данные_показатели ТЭЦ'!$AP$70/1000</f>
        <v>8.694640437605246</v>
      </c>
      <c r="G78" s="209">
        <f>(G74-G75)*'Исходные данные_показатели ТЭЦ'!$BC$70/1000</f>
        <v>18.853178770152034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</row>
    <row r="79" spans="1:43" ht="15" x14ac:dyDescent="0.25">
      <c r="B79" s="68" t="s">
        <v>40</v>
      </c>
      <c r="C79" s="143" t="s">
        <v>37</v>
      </c>
      <c r="D79" s="66">
        <f>(D74-D75)*('Исходные данные_показатели ТЭЦ'!$P$73/1000)*('Исходные данные_показатели ТЭЦ'!$P$72-'Исходные данные_показатели ТЭЦ'!$P$71)/1000</f>
        <v>0</v>
      </c>
      <c r="E79" s="66">
        <f>(E74-E75)*('Исходные данные_показатели ТЭЦ'!$AC$73/1000)*('Исходные данные_показатели ТЭЦ'!$AC$72-'Исходные данные_показатели ТЭЦ'!$AC$71)/1000</f>
        <v>0</v>
      </c>
      <c r="F79" s="66">
        <f>(F74-F75)*('Исходные данные_показатели ТЭЦ'!$AP$73/1000)*('Исходные данные_показатели ТЭЦ'!$AP$72-'Исходные данные_показатели ТЭЦ'!$AP$71)/1000</f>
        <v>6.8964113197331427</v>
      </c>
      <c r="G79" s="209">
        <f>(G74-G75)*('Исходные данные_показатели ТЭЦ'!$BC$73/1000)*('Исходные данные_показатели ТЭЦ'!$BC$72-'Исходные данные_показатели ТЭЦ'!$BC$71)/1000</f>
        <v>16.87509996322191</v>
      </c>
    </row>
    <row r="80" spans="1:43" s="78" customFormat="1" ht="15" x14ac:dyDescent="0.25">
      <c r="A80"/>
      <c r="B80" s="71" t="s">
        <v>41</v>
      </c>
      <c r="C80" s="202" t="s">
        <v>37</v>
      </c>
      <c r="D80" s="72">
        <f>D76-D77-D78+D79</f>
        <v>3849.5259999999998</v>
      </c>
      <c r="E80" s="72">
        <f>E76-E77-E78+E79</f>
        <v>3776.23</v>
      </c>
      <c r="F80" s="72">
        <f>F76-F77-F78+F79</f>
        <v>3907.4149172069565</v>
      </c>
      <c r="G80" s="210">
        <f>G76-G77-G78+G79</f>
        <v>4038.2703019891992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</row>
    <row r="81" spans="1:43" s="79" customFormat="1" ht="16.5" customHeight="1" x14ac:dyDescent="0.25">
      <c r="A81"/>
      <c r="B81" s="71" t="s">
        <v>42</v>
      </c>
      <c r="C81" s="202" t="s">
        <v>37</v>
      </c>
      <c r="D81" s="66">
        <f>IF(D76&gt;D80,D76-D80,0)</f>
        <v>0</v>
      </c>
      <c r="E81" s="66">
        <f>IF(E76&gt;E80,E76-E80,0)</f>
        <v>0</v>
      </c>
      <c r="F81" s="66">
        <f>IF(F76&gt;F80,F76-F80,0)</f>
        <v>3.0170827930433006</v>
      </c>
      <c r="G81" s="209">
        <f>IF(G76&gt;G80,G76-G80,0)</f>
        <v>5.6266980108007374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</row>
    <row r="107" spans="14:14" x14ac:dyDescent="0.25">
      <c r="N107" t="s">
        <v>117</v>
      </c>
    </row>
  </sheetData>
  <phoneticPr fontId="4" type="noConversion"/>
  <conditionalFormatting sqref="D12:G12">
    <cfRule type="cellIs" dxfId="5" priority="11" operator="lessThan">
      <formula>0</formula>
    </cfRule>
  </conditionalFormatting>
  <conditionalFormatting sqref="D23:G24 D34:G34">
    <cfRule type="cellIs" dxfId="4" priority="8" operator="lessThan">
      <formula>0</formula>
    </cfRule>
  </conditionalFormatting>
  <conditionalFormatting sqref="D45:G45">
    <cfRule type="cellIs" dxfId="3" priority="4" operator="lessThan">
      <formula>0</formula>
    </cfRule>
  </conditionalFormatting>
  <conditionalFormatting sqref="D57:G57">
    <cfRule type="cellIs" dxfId="2" priority="3" operator="lessThan">
      <formula>0</formula>
    </cfRule>
  </conditionalFormatting>
  <conditionalFormatting sqref="D69:G69">
    <cfRule type="cellIs" dxfId="1" priority="2" operator="lessThan">
      <formula>0</formula>
    </cfRule>
  </conditionalFormatting>
  <conditionalFormatting sqref="D81:G81"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942EC-412D-4CA9-9683-8FA737F3D788}">
  <sheetPr>
    <tabColor rgb="FFAEAAAA"/>
  </sheetPr>
  <dimension ref="B2:BN81"/>
  <sheetViews>
    <sheetView showGridLines="0" zoomScale="85" zoomScaleNormal="85" workbookViewId="0">
      <pane xSplit="3" topLeftCell="D1" activePane="topRight" state="frozen"/>
      <selection pane="topRight" activeCell="BJ21" sqref="BJ21:BJ22"/>
    </sheetView>
  </sheetViews>
  <sheetFormatPr defaultColWidth="9.140625" defaultRowHeight="15" x14ac:dyDescent="0.2"/>
  <cols>
    <col min="1" max="1" width="9.140625" style="215"/>
    <col min="2" max="2" width="63.85546875" style="215" customWidth="1"/>
    <col min="3" max="3" width="16" style="216" customWidth="1"/>
    <col min="4" max="15" width="13.42578125" style="215" hidden="1" customWidth="1"/>
    <col min="16" max="16" width="15.7109375" style="320" customWidth="1"/>
    <col min="17" max="28" width="13.42578125" style="215" hidden="1" customWidth="1"/>
    <col min="29" max="29" width="15.28515625" style="320" customWidth="1"/>
    <col min="30" max="41" width="13.42578125" style="215" hidden="1" customWidth="1"/>
    <col min="42" max="42" width="16.42578125" style="320" customWidth="1"/>
    <col min="43" max="50" width="12.7109375" style="215" hidden="1" customWidth="1"/>
    <col min="51" max="51" width="14.85546875" style="215" hidden="1" customWidth="1"/>
    <col min="52" max="54" width="12.7109375" style="215" hidden="1" customWidth="1"/>
    <col min="55" max="55" width="19.85546875" style="320" customWidth="1"/>
    <col min="56" max="60" width="9.140625" style="215" customWidth="1"/>
    <col min="61" max="61" width="20" style="215" customWidth="1"/>
    <col min="62" max="62" width="18.7109375" style="215" customWidth="1"/>
    <col min="63" max="16384" width="9.140625" style="215"/>
  </cols>
  <sheetData>
    <row r="2" spans="2:61" x14ac:dyDescent="0.2"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321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321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321"/>
      <c r="AQ2" s="217"/>
      <c r="AR2" s="217"/>
      <c r="AS2" s="217"/>
      <c r="AT2" s="217"/>
      <c r="AU2" s="217"/>
      <c r="AV2" s="217"/>
      <c r="AW2" s="217"/>
      <c r="AX2" s="217"/>
      <c r="AY2" s="217"/>
      <c r="AZ2" s="217"/>
      <c r="BA2" s="217"/>
      <c r="BB2" s="217"/>
      <c r="BC2" s="321"/>
    </row>
    <row r="3" spans="2:61" ht="15.75" x14ac:dyDescent="0.25">
      <c r="D3" s="433">
        <v>2021</v>
      </c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>
        <v>2022</v>
      </c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>
        <v>2023</v>
      </c>
      <c r="AE3" s="433"/>
      <c r="AF3" s="433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>
        <v>2024</v>
      </c>
      <c r="AR3" s="433"/>
      <c r="AS3" s="433"/>
      <c r="AT3" s="433"/>
      <c r="AU3" s="433"/>
      <c r="AV3" s="433"/>
      <c r="AW3" s="433"/>
      <c r="AX3" s="433"/>
      <c r="AY3" s="433"/>
      <c r="AZ3" s="433"/>
      <c r="BA3" s="433"/>
      <c r="BB3" s="433"/>
      <c r="BC3" s="433"/>
    </row>
    <row r="4" spans="2:61" s="150" customFormat="1" ht="15.75" x14ac:dyDescent="0.2">
      <c r="B4" s="431" t="s">
        <v>21</v>
      </c>
      <c r="C4" s="431" t="s">
        <v>2</v>
      </c>
      <c r="D4" s="431" t="s">
        <v>16</v>
      </c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431" t="s">
        <v>16</v>
      </c>
      <c r="R4" s="431"/>
      <c r="S4" s="431"/>
      <c r="T4" s="431"/>
      <c r="U4" s="431"/>
      <c r="V4" s="431"/>
      <c r="W4" s="431"/>
      <c r="X4" s="431"/>
      <c r="Y4" s="431"/>
      <c r="Z4" s="431"/>
      <c r="AA4" s="431"/>
      <c r="AB4" s="431"/>
      <c r="AC4" s="431"/>
      <c r="AD4" s="431" t="s">
        <v>16</v>
      </c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 t="s">
        <v>16</v>
      </c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151"/>
    </row>
    <row r="5" spans="2:61" s="150" customFormat="1" ht="15.75" x14ac:dyDescent="0.2">
      <c r="B5" s="431"/>
      <c r="C5" s="431"/>
      <c r="D5" s="61" t="s">
        <v>3</v>
      </c>
      <c r="E5" s="61" t="s">
        <v>4</v>
      </c>
      <c r="F5" s="61" t="s">
        <v>5</v>
      </c>
      <c r="G5" s="61" t="s">
        <v>6</v>
      </c>
      <c r="H5" s="61" t="s">
        <v>7</v>
      </c>
      <c r="I5" s="61" t="s">
        <v>8</v>
      </c>
      <c r="J5" s="61" t="s">
        <v>9</v>
      </c>
      <c r="K5" s="61" t="s">
        <v>10</v>
      </c>
      <c r="L5" s="194" t="s">
        <v>11</v>
      </c>
      <c r="M5" s="195" t="s">
        <v>12</v>
      </c>
      <c r="N5" s="61" t="s">
        <v>13</v>
      </c>
      <c r="O5" s="61" t="s">
        <v>14</v>
      </c>
      <c r="P5" s="322" t="s">
        <v>33</v>
      </c>
      <c r="Q5" s="290" t="s">
        <v>3</v>
      </c>
      <c r="R5" s="61" t="s">
        <v>4</v>
      </c>
      <c r="S5" s="61" t="s">
        <v>5</v>
      </c>
      <c r="T5" s="61" t="s">
        <v>6</v>
      </c>
      <c r="U5" s="61" t="s">
        <v>7</v>
      </c>
      <c r="V5" s="61" t="s">
        <v>8</v>
      </c>
      <c r="W5" s="61" t="s">
        <v>9</v>
      </c>
      <c r="X5" s="61" t="s">
        <v>10</v>
      </c>
      <c r="Y5" s="194" t="s">
        <v>11</v>
      </c>
      <c r="Z5" s="195" t="s">
        <v>12</v>
      </c>
      <c r="AA5" s="61" t="s">
        <v>13</v>
      </c>
      <c r="AB5" s="61" t="s">
        <v>14</v>
      </c>
      <c r="AC5" s="322" t="s">
        <v>33</v>
      </c>
      <c r="AD5" s="290" t="s">
        <v>3</v>
      </c>
      <c r="AE5" s="61" t="s">
        <v>4</v>
      </c>
      <c r="AF5" s="61" t="s">
        <v>5</v>
      </c>
      <c r="AG5" s="61" t="s">
        <v>6</v>
      </c>
      <c r="AH5" s="61" t="s">
        <v>7</v>
      </c>
      <c r="AI5" s="61" t="s">
        <v>8</v>
      </c>
      <c r="AJ5" s="61" t="s">
        <v>9</v>
      </c>
      <c r="AK5" s="61" t="s">
        <v>10</v>
      </c>
      <c r="AL5" s="194" t="s">
        <v>11</v>
      </c>
      <c r="AM5" s="195" t="s">
        <v>12</v>
      </c>
      <c r="AN5" s="61" t="s">
        <v>13</v>
      </c>
      <c r="AO5" s="61" t="s">
        <v>14</v>
      </c>
      <c r="AP5" s="322" t="s">
        <v>33</v>
      </c>
      <c r="AQ5" s="290" t="s">
        <v>3</v>
      </c>
      <c r="AR5" s="61" t="s">
        <v>4</v>
      </c>
      <c r="AS5" s="61" t="s">
        <v>5</v>
      </c>
      <c r="AT5" s="61" t="s">
        <v>6</v>
      </c>
      <c r="AU5" s="61" t="s">
        <v>7</v>
      </c>
      <c r="AV5" s="61" t="s">
        <v>8</v>
      </c>
      <c r="AW5" s="61" t="s">
        <v>9</v>
      </c>
      <c r="AX5" s="61" t="s">
        <v>10</v>
      </c>
      <c r="AY5" s="194" t="s">
        <v>11</v>
      </c>
      <c r="AZ5" s="195" t="s">
        <v>12</v>
      </c>
      <c r="BA5" s="61" t="s">
        <v>13</v>
      </c>
      <c r="BB5" s="61" t="s">
        <v>14</v>
      </c>
      <c r="BC5" s="322" t="s">
        <v>33</v>
      </c>
      <c r="BD5" s="151"/>
    </row>
    <row r="6" spans="2:61" s="150" customFormat="1" x14ac:dyDescent="0.2">
      <c r="B6" s="188" t="s">
        <v>62</v>
      </c>
      <c r="C6" s="201" t="s">
        <v>15</v>
      </c>
      <c r="D6" s="189">
        <v>1812.375875</v>
      </c>
      <c r="E6" s="189">
        <v>1927.219875</v>
      </c>
      <c r="F6" s="189">
        <v>1546.7251249999999</v>
      </c>
      <c r="G6" s="189">
        <v>1042.568125</v>
      </c>
      <c r="H6" s="189">
        <v>503.01</v>
      </c>
      <c r="I6" s="189">
        <v>247.06498437499999</v>
      </c>
      <c r="J6" s="189">
        <v>212.74600000000001</v>
      </c>
      <c r="K6" s="189">
        <v>247.07293749999999</v>
      </c>
      <c r="L6" s="189">
        <v>607.68318945312501</v>
      </c>
      <c r="M6" s="189">
        <v>1092.0028749999999</v>
      </c>
      <c r="N6" s="189">
        <v>1323.5219999999999</v>
      </c>
      <c r="O6" s="189">
        <v>1947.501</v>
      </c>
      <c r="P6" s="323">
        <f>SUM(D6:O6)</f>
        <v>12509.491986328125</v>
      </c>
      <c r="Q6" s="291">
        <v>1816.97</v>
      </c>
      <c r="R6" s="189">
        <v>1385.4970000000001</v>
      </c>
      <c r="S6" s="189">
        <v>1485.6201249999999</v>
      </c>
      <c r="T6" s="189">
        <v>1135.905</v>
      </c>
      <c r="U6" s="189">
        <v>607.42399999999998</v>
      </c>
      <c r="V6" s="189">
        <v>263.99700000000001</v>
      </c>
      <c r="W6" s="189">
        <v>227.64396875</v>
      </c>
      <c r="X6" s="189">
        <v>239.52001562500001</v>
      </c>
      <c r="Y6" s="189">
        <v>521.051875</v>
      </c>
      <c r="Z6" s="189">
        <v>1086.627</v>
      </c>
      <c r="AA6" s="189">
        <v>1501.9839999999999</v>
      </c>
      <c r="AB6" s="189">
        <v>1825.68075</v>
      </c>
      <c r="AC6" s="323">
        <f>SUM(Q6:AB6)</f>
        <v>12097.920734375</v>
      </c>
      <c r="AD6" s="291">
        <v>1872.614875</v>
      </c>
      <c r="AE6" s="189">
        <v>1627.6801250000001</v>
      </c>
      <c r="AF6" s="189">
        <v>1464.8889999999999</v>
      </c>
      <c r="AG6" s="189">
        <v>916.45512499999995</v>
      </c>
      <c r="AH6" s="189">
        <v>362.74900000000002</v>
      </c>
      <c r="AI6" s="189">
        <v>257.72901562499999</v>
      </c>
      <c r="AJ6" s="189">
        <v>244.106015625</v>
      </c>
      <c r="AK6" s="189">
        <v>247.91298437500001</v>
      </c>
      <c r="AL6" s="189">
        <v>268.16896874999998</v>
      </c>
      <c r="AM6" s="189">
        <v>1109.5360000000001</v>
      </c>
      <c r="AN6" s="189">
        <v>1465.8</v>
      </c>
      <c r="AO6" s="189">
        <v>1859.277</v>
      </c>
      <c r="AP6" s="323">
        <f>SUM(AD6:AO6)</f>
        <v>11696.918109374999</v>
      </c>
      <c r="AQ6" s="314">
        <v>2189.8989999999999</v>
      </c>
      <c r="AR6" s="190">
        <v>1753.1781249999999</v>
      </c>
      <c r="AS6" s="190">
        <v>1438.2337500000001</v>
      </c>
      <c r="AT6" s="190">
        <v>933.53987500000005</v>
      </c>
      <c r="AU6" s="190">
        <v>587.22799999999995</v>
      </c>
      <c r="AV6" s="190">
        <v>269.37200000000001</v>
      </c>
      <c r="AW6" s="190">
        <v>224.530015625</v>
      </c>
      <c r="AX6" s="190">
        <v>254.23099999999999</v>
      </c>
      <c r="AY6" s="190">
        <v>285.78199999999998</v>
      </c>
      <c r="AZ6" s="190">
        <v>960.51518750000002</v>
      </c>
      <c r="BA6" s="190">
        <v>1398.54375</v>
      </c>
      <c r="BB6" s="190">
        <v>1710.8967500000001</v>
      </c>
      <c r="BC6" s="323">
        <f>SUM(AQ6:BB6)</f>
        <v>12005.949453125</v>
      </c>
      <c r="BD6" s="151"/>
      <c r="BI6" s="218"/>
    </row>
    <row r="7" spans="2:61" s="150" customFormat="1" x14ac:dyDescent="0.2">
      <c r="B7" s="69" t="s">
        <v>63</v>
      </c>
      <c r="C7" s="143" t="s">
        <v>15</v>
      </c>
      <c r="D7" s="152">
        <v>594.67999999999995</v>
      </c>
      <c r="E7" s="152">
        <v>761.27</v>
      </c>
      <c r="F7" s="152">
        <v>338.71024999999992</v>
      </c>
      <c r="G7" s="152">
        <v>297.83</v>
      </c>
      <c r="H7" s="152">
        <v>108.17965625000001</v>
      </c>
      <c r="I7" s="152">
        <v>0</v>
      </c>
      <c r="J7" s="152">
        <v>0</v>
      </c>
      <c r="K7" s="152">
        <v>3.2300014648437498</v>
      </c>
      <c r="L7" s="152">
        <v>82.159875</v>
      </c>
      <c r="M7" s="152">
        <v>96.689999999999984</v>
      </c>
      <c r="N7" s="152">
        <v>231.12999999999997</v>
      </c>
      <c r="O7" s="152">
        <v>684.77006250000011</v>
      </c>
      <c r="P7" s="324">
        <f t="shared" ref="P7:P10" si="0">SUM(D7:O7)</f>
        <v>3198.6498452148435</v>
      </c>
      <c r="Q7" s="292">
        <v>547.16</v>
      </c>
      <c r="R7" s="152">
        <v>145.33001562500002</v>
      </c>
      <c r="S7" s="152">
        <v>293.58999999999997</v>
      </c>
      <c r="T7" s="152">
        <v>260.06984374999996</v>
      </c>
      <c r="U7" s="152">
        <v>143.72996874999998</v>
      </c>
      <c r="V7" s="152">
        <v>18.570003906250001</v>
      </c>
      <c r="W7" s="152">
        <v>0</v>
      </c>
      <c r="X7" s="152">
        <v>7.1350034179687505</v>
      </c>
      <c r="Y7" s="152">
        <v>52.039996093749998</v>
      </c>
      <c r="Z7" s="152">
        <v>211.65</v>
      </c>
      <c r="AA7" s="152">
        <v>385.33996874999997</v>
      </c>
      <c r="AB7" s="152">
        <v>477.39</v>
      </c>
      <c r="AC7" s="324">
        <f t="shared" ref="AC7:AC10" si="1">SUM(Q7:AB7)</f>
        <v>2542.0048002929684</v>
      </c>
      <c r="AD7" s="292">
        <v>616.80999999999995</v>
      </c>
      <c r="AE7" s="152">
        <v>480.61993749999999</v>
      </c>
      <c r="AF7" s="152">
        <v>229.49996874999997</v>
      </c>
      <c r="AG7" s="152">
        <v>130.10998437500001</v>
      </c>
      <c r="AH7" s="152">
        <v>24.780003906249998</v>
      </c>
      <c r="AI7" s="152">
        <v>6.81</v>
      </c>
      <c r="AJ7" s="152">
        <v>0</v>
      </c>
      <c r="AK7" s="152">
        <v>3.2099990234375002</v>
      </c>
      <c r="AL7" s="152">
        <v>4.070002441406249</v>
      </c>
      <c r="AM7" s="152">
        <v>223.67021875000003</v>
      </c>
      <c r="AN7" s="152">
        <v>502.00996875000004</v>
      </c>
      <c r="AO7" s="152">
        <v>670.43</v>
      </c>
      <c r="AP7" s="324">
        <f t="shared" ref="AP7:AP10" si="2">SUM(AD7:AO7)</f>
        <v>2892.0200834960938</v>
      </c>
      <c r="AQ7" s="301">
        <v>855.04</v>
      </c>
      <c r="AR7" s="153">
        <v>506.68999999999994</v>
      </c>
      <c r="AS7" s="153">
        <v>197.18000000000004</v>
      </c>
      <c r="AT7" s="153">
        <v>93.48</v>
      </c>
      <c r="AU7" s="153">
        <v>60.380007812499997</v>
      </c>
      <c r="AV7" s="153">
        <v>0</v>
      </c>
      <c r="AW7" s="153">
        <v>0</v>
      </c>
      <c r="AX7" s="153">
        <v>3.6599985351562503</v>
      </c>
      <c r="AY7" s="153">
        <v>0</v>
      </c>
      <c r="AZ7" s="153">
        <v>194.95001562499999</v>
      </c>
      <c r="BA7" s="153">
        <v>316.20003124999999</v>
      </c>
      <c r="BB7" s="153">
        <v>365.88006250000001</v>
      </c>
      <c r="BC7" s="324">
        <f t="shared" ref="BC7:BC10" si="3">SUM(AQ7:BB7)</f>
        <v>2593.4601157226562</v>
      </c>
      <c r="BD7" s="151"/>
      <c r="BI7" s="218"/>
    </row>
    <row r="8" spans="2:61" s="150" customFormat="1" x14ac:dyDescent="0.2">
      <c r="B8" s="69" t="s">
        <v>64</v>
      </c>
      <c r="C8" s="143" t="s">
        <v>15</v>
      </c>
      <c r="D8" s="152">
        <v>0</v>
      </c>
      <c r="E8" s="152">
        <v>0</v>
      </c>
      <c r="F8" s="152">
        <v>0</v>
      </c>
      <c r="G8" s="152">
        <v>-8.3084106445312498E-6</v>
      </c>
      <c r="H8" s="152">
        <v>0</v>
      </c>
      <c r="I8" s="152">
        <v>0</v>
      </c>
      <c r="J8" s="152">
        <v>7.02005859375</v>
      </c>
      <c r="K8" s="152">
        <v>11.560000976562501</v>
      </c>
      <c r="L8" s="152">
        <v>14.079610351562501</v>
      </c>
      <c r="M8" s="152">
        <v>0</v>
      </c>
      <c r="N8" s="152">
        <v>0</v>
      </c>
      <c r="O8" s="152">
        <v>0</v>
      </c>
      <c r="P8" s="324">
        <f>SUM(D8:O8)</f>
        <v>32.659661613464358</v>
      </c>
      <c r="Q8" s="292">
        <v>0</v>
      </c>
      <c r="R8" s="152">
        <v>0</v>
      </c>
      <c r="S8" s="152">
        <v>8.4903017578124995</v>
      </c>
      <c r="T8" s="152">
        <v>0</v>
      </c>
      <c r="U8" s="152">
        <v>0</v>
      </c>
      <c r="V8" s="152">
        <v>0</v>
      </c>
      <c r="W8" s="152">
        <v>0</v>
      </c>
      <c r="X8" s="152">
        <v>2.2900002441406251</v>
      </c>
      <c r="Y8" s="152">
        <v>0</v>
      </c>
      <c r="Z8" s="152">
        <v>3.829999755859375</v>
      </c>
      <c r="AA8" s="152">
        <v>36.449855468750002</v>
      </c>
      <c r="AB8" s="152">
        <v>15.1900361328125</v>
      </c>
      <c r="AC8" s="324">
        <f t="shared" si="1"/>
        <v>66.250193359375004</v>
      </c>
      <c r="AD8" s="292">
        <v>0</v>
      </c>
      <c r="AE8" s="152">
        <v>2.2400000000000002</v>
      </c>
      <c r="AF8" s="152">
        <v>13.83</v>
      </c>
      <c r="AG8" s="152">
        <v>34.4</v>
      </c>
      <c r="AH8" s="152">
        <v>19.459998046875</v>
      </c>
      <c r="AI8" s="152">
        <v>0</v>
      </c>
      <c r="AJ8" s="152">
        <v>0</v>
      </c>
      <c r="AK8" s="152">
        <v>0</v>
      </c>
      <c r="AL8" s="152">
        <v>1.3899965820312501</v>
      </c>
      <c r="AM8" s="152">
        <v>2.7499995117187499</v>
      </c>
      <c r="AN8" s="152">
        <v>3.1</v>
      </c>
      <c r="AO8" s="152">
        <v>12.4</v>
      </c>
      <c r="AP8" s="324">
        <f t="shared" si="2"/>
        <v>89.569994140624999</v>
      </c>
      <c r="AQ8" s="301">
        <v>6.65</v>
      </c>
      <c r="AR8" s="153">
        <v>6.9</v>
      </c>
      <c r="AS8" s="153">
        <v>16.739999999999998</v>
      </c>
      <c r="AT8" s="153">
        <v>3.0161652565002441E-3</v>
      </c>
      <c r="AU8" s="153">
        <v>0</v>
      </c>
      <c r="AV8" s="153">
        <v>0</v>
      </c>
      <c r="AW8" s="153">
        <v>19.699521484375001</v>
      </c>
      <c r="AX8" s="153">
        <v>17.520001953125</v>
      </c>
      <c r="AY8" s="153">
        <v>27.72000390625</v>
      </c>
      <c r="AZ8" s="153">
        <v>49.13</v>
      </c>
      <c r="BA8" s="153">
        <v>49.639609374999999</v>
      </c>
      <c r="BB8" s="153">
        <v>46.96</v>
      </c>
      <c r="BC8" s="324">
        <f t="shared" si="3"/>
        <v>240.96215288400651</v>
      </c>
      <c r="BD8" s="151"/>
      <c r="BI8" s="218"/>
    </row>
    <row r="9" spans="2:61" s="150" customFormat="1" x14ac:dyDescent="0.2">
      <c r="B9" s="154" t="s">
        <v>65</v>
      </c>
      <c r="C9" s="143" t="s">
        <v>66</v>
      </c>
      <c r="D9" s="155">
        <v>967995</v>
      </c>
      <c r="E9" s="155">
        <v>944983</v>
      </c>
      <c r="F9" s="155">
        <v>954620</v>
      </c>
      <c r="G9" s="155">
        <v>543125</v>
      </c>
      <c r="H9" s="155">
        <v>389832</v>
      </c>
      <c r="I9" s="155">
        <v>508694.84375</v>
      </c>
      <c r="J9" s="155">
        <v>506780</v>
      </c>
      <c r="K9" s="155">
        <v>507634.9375</v>
      </c>
      <c r="L9" s="155">
        <v>650750</v>
      </c>
      <c r="M9" s="155">
        <v>891169.9375</v>
      </c>
      <c r="N9" s="155">
        <v>905316</v>
      </c>
      <c r="O9" s="155">
        <v>1060292.875</v>
      </c>
      <c r="P9" s="324">
        <f t="shared" si="0"/>
        <v>8831193.59375</v>
      </c>
      <c r="Q9" s="293">
        <v>1056570.875</v>
      </c>
      <c r="R9" s="155">
        <v>993135.9375</v>
      </c>
      <c r="S9" s="155">
        <v>1012841.875</v>
      </c>
      <c r="T9" s="155">
        <v>761095</v>
      </c>
      <c r="U9" s="155">
        <v>422659</v>
      </c>
      <c r="V9" s="155">
        <v>369002</v>
      </c>
      <c r="W9" s="155">
        <v>481035</v>
      </c>
      <c r="X9" s="155">
        <v>461087.34375</v>
      </c>
      <c r="Y9" s="155">
        <v>484923</v>
      </c>
      <c r="Z9" s="155">
        <v>721962</v>
      </c>
      <c r="AA9" s="155">
        <v>846390</v>
      </c>
      <c r="AB9" s="155">
        <v>978401</v>
      </c>
      <c r="AC9" s="324">
        <f t="shared" si="1"/>
        <v>8589103.03125</v>
      </c>
      <c r="AD9" s="293">
        <v>962624</v>
      </c>
      <c r="AE9" s="155">
        <v>916452.875</v>
      </c>
      <c r="AF9" s="155">
        <v>1017254</v>
      </c>
      <c r="AG9" s="155">
        <v>676374.75</v>
      </c>
      <c r="AH9" s="155">
        <v>352550.96875</v>
      </c>
      <c r="AI9" s="155">
        <v>294026.625</v>
      </c>
      <c r="AJ9" s="155">
        <v>461939.65625</v>
      </c>
      <c r="AK9" s="155">
        <v>646609.75</v>
      </c>
      <c r="AL9" s="155">
        <v>476369</v>
      </c>
      <c r="AM9" s="155">
        <v>745377</v>
      </c>
      <c r="AN9" s="155">
        <v>746866</v>
      </c>
      <c r="AO9" s="155">
        <v>943252.875</v>
      </c>
      <c r="AP9" s="324">
        <f t="shared" si="2"/>
        <v>8239697.5</v>
      </c>
      <c r="AQ9" s="302">
        <v>1084341.875</v>
      </c>
      <c r="AR9" s="156">
        <v>1002447.875</v>
      </c>
      <c r="AS9" s="156">
        <v>979780.1875</v>
      </c>
      <c r="AT9" s="156">
        <v>615300</v>
      </c>
      <c r="AU9" s="156">
        <v>470332</v>
      </c>
      <c r="AV9" s="156">
        <v>705522.0625</v>
      </c>
      <c r="AW9" s="156">
        <v>756738.8125</v>
      </c>
      <c r="AX9" s="156">
        <v>670867.375</v>
      </c>
      <c r="AY9" s="156">
        <v>498610</v>
      </c>
      <c r="AZ9" s="156">
        <v>660121.0625</v>
      </c>
      <c r="BA9" s="156">
        <v>842098.1875</v>
      </c>
      <c r="BB9" s="156">
        <v>1025125</v>
      </c>
      <c r="BC9" s="324">
        <f t="shared" si="3"/>
        <v>9311284.4375</v>
      </c>
      <c r="BD9" s="151"/>
      <c r="BI9" s="218"/>
    </row>
    <row r="10" spans="2:61" s="150" customFormat="1" x14ac:dyDescent="0.2">
      <c r="B10" s="154" t="s">
        <v>67</v>
      </c>
      <c r="C10" s="143" t="s">
        <v>66</v>
      </c>
      <c r="D10" s="157">
        <v>805260</v>
      </c>
      <c r="E10" s="155">
        <v>756980</v>
      </c>
      <c r="F10" s="155">
        <v>804100</v>
      </c>
      <c r="G10" s="155">
        <v>446020</v>
      </c>
      <c r="H10" s="155">
        <v>234480</v>
      </c>
      <c r="I10" s="155">
        <v>159190</v>
      </c>
      <c r="J10" s="155">
        <v>122990</v>
      </c>
      <c r="K10" s="155">
        <v>144890</v>
      </c>
      <c r="L10" s="155">
        <v>340700</v>
      </c>
      <c r="M10" s="155">
        <v>655940</v>
      </c>
      <c r="N10" s="155">
        <v>709880</v>
      </c>
      <c r="O10" s="155">
        <v>821650</v>
      </c>
      <c r="P10" s="324">
        <f t="shared" si="0"/>
        <v>6002080</v>
      </c>
      <c r="Q10" s="294">
        <v>792630</v>
      </c>
      <c r="R10" s="155">
        <v>800430</v>
      </c>
      <c r="S10" s="155">
        <v>775640</v>
      </c>
      <c r="T10" s="155">
        <v>562150</v>
      </c>
      <c r="U10" s="155">
        <v>268160</v>
      </c>
      <c r="V10" s="155">
        <v>149960</v>
      </c>
      <c r="W10" s="155">
        <v>131690</v>
      </c>
      <c r="X10" s="155">
        <v>138390</v>
      </c>
      <c r="Y10" s="155">
        <v>320580</v>
      </c>
      <c r="Z10" s="155">
        <v>571990</v>
      </c>
      <c r="AA10" s="155">
        <v>656150</v>
      </c>
      <c r="AB10" s="155">
        <v>818960</v>
      </c>
      <c r="AC10" s="324">
        <f t="shared" si="1"/>
        <v>5986730</v>
      </c>
      <c r="AD10" s="294">
        <v>790700</v>
      </c>
      <c r="AE10" s="155">
        <v>723460</v>
      </c>
      <c r="AF10" s="155">
        <v>777100</v>
      </c>
      <c r="AG10" s="155">
        <v>497420</v>
      </c>
      <c r="AH10" s="155">
        <v>222250</v>
      </c>
      <c r="AI10" s="155">
        <v>144550</v>
      </c>
      <c r="AJ10" s="155">
        <v>132880</v>
      </c>
      <c r="AK10" s="155">
        <v>134120</v>
      </c>
      <c r="AL10" s="155">
        <v>143370</v>
      </c>
      <c r="AM10" s="155">
        <v>550490</v>
      </c>
      <c r="AN10" s="155">
        <v>573230</v>
      </c>
      <c r="AO10" s="155">
        <v>731280</v>
      </c>
      <c r="AP10" s="324">
        <f t="shared" si="2"/>
        <v>5420850</v>
      </c>
      <c r="AQ10" s="315">
        <v>835960</v>
      </c>
      <c r="AR10" s="156">
        <v>783420</v>
      </c>
      <c r="AS10" s="156">
        <v>777840</v>
      </c>
      <c r="AT10" s="156">
        <v>488280</v>
      </c>
      <c r="AU10" s="156">
        <v>297840</v>
      </c>
      <c r="AV10" s="156">
        <v>149020</v>
      </c>
      <c r="AW10" s="156">
        <v>115680</v>
      </c>
      <c r="AX10" s="156">
        <v>135050</v>
      </c>
      <c r="AY10" s="156">
        <v>146860</v>
      </c>
      <c r="AZ10" s="156">
        <v>490000</v>
      </c>
      <c r="BA10" s="156">
        <v>682070</v>
      </c>
      <c r="BB10" s="156">
        <v>842650</v>
      </c>
      <c r="BC10" s="324">
        <f t="shared" si="3"/>
        <v>5744670</v>
      </c>
      <c r="BD10" s="151"/>
    </row>
    <row r="11" spans="2:61" s="150" customFormat="1" ht="32.25" customHeight="1" x14ac:dyDescent="0.2">
      <c r="B11" s="69" t="s">
        <v>68</v>
      </c>
      <c r="C11" s="143" t="s">
        <v>43</v>
      </c>
      <c r="D11" s="152">
        <f>(D20-D12*D7-D15*(D9-D10)/1000*(1-D21)-D14*D10/1000*(1-D21))/(D6-D7)</f>
        <v>163.64164015912431</v>
      </c>
      <c r="E11" s="152">
        <f t="shared" ref="E11:O11" si="4">(E20-E12*E7-E15*(E9-E10)/1000*(1-E21)-E14*E10/1000*(1-E21))/(E6-E7)</f>
        <v>164.17509852213846</v>
      </c>
      <c r="F11" s="152">
        <f t="shared" si="4"/>
        <v>161.95711954551209</v>
      </c>
      <c r="G11" s="152">
        <f t="shared" si="4"/>
        <v>162.79134964387646</v>
      </c>
      <c r="H11" s="152">
        <f t="shared" si="4"/>
        <v>165.73350841216464</v>
      </c>
      <c r="I11" s="152">
        <f t="shared" si="4"/>
        <v>170.56780838117811</v>
      </c>
      <c r="J11" s="152">
        <f t="shared" si="4"/>
        <v>174.48422720051141</v>
      </c>
      <c r="K11" s="152">
        <f t="shared" si="4"/>
        <v>172.84404994962662</v>
      </c>
      <c r="L11" s="152">
        <f t="shared" si="4"/>
        <v>169.32839680891411</v>
      </c>
      <c r="M11" s="152">
        <f>(M20-M12*M7-M15*(M9-M10)/1000*(1-M21)-M14*M10/1000*(1-M21))/(M6-M7)</f>
        <v>163.41653476295321</v>
      </c>
      <c r="N11" s="152">
        <f t="shared" si="4"/>
        <v>164.51699161107001</v>
      </c>
      <c r="O11" s="152">
        <f t="shared" si="4"/>
        <v>165.38449432408265</v>
      </c>
      <c r="P11" s="325">
        <f>AVERAGE(D11:O11)</f>
        <v>166.57010161009603</v>
      </c>
      <c r="Q11" s="292">
        <f>(Q20-Q12*Q7-Q15*(Q9-Q10)/1000*(1-Q21)-Q14*Q10/1000*(1-Q21))/(Q6-Q7)</f>
        <v>165.46000419198143</v>
      </c>
      <c r="R11" s="152">
        <f t="shared" ref="R11:AB11" si="5">(R20-R12*R7-R15*(R9-R10)/1000*(1-R21)-R14*R10/1000*(1-R21))/(R6-R7)</f>
        <v>162.64141680333412</v>
      </c>
      <c r="S11" s="152">
        <f t="shared" si="5"/>
        <v>163.3045356003486</v>
      </c>
      <c r="T11" s="152">
        <f t="shared" si="5"/>
        <v>162.44961742711661</v>
      </c>
      <c r="U11" s="152">
        <f t="shared" si="5"/>
        <v>166.1037831291178</v>
      </c>
      <c r="V11" s="152">
        <f t="shared" si="5"/>
        <v>170.46536961491049</v>
      </c>
      <c r="W11" s="152">
        <f t="shared" si="5"/>
        <v>171.68638560734988</v>
      </c>
      <c r="X11" s="152">
        <f t="shared" si="5"/>
        <v>173.91042023332685</v>
      </c>
      <c r="Y11" s="152">
        <f t="shared" si="5"/>
        <v>165.44328105442139</v>
      </c>
      <c r="Z11" s="152">
        <f>(Z20-Z12*Z7-Z15*(Z9-Z10)/1000*(1-Z21)-Z14*Z10/1000*(1-Z21))/(Z6-Z7)</f>
        <v>164.29918123562103</v>
      </c>
      <c r="AA11" s="152">
        <f t="shared" si="5"/>
        <v>166.46330379079262</v>
      </c>
      <c r="AB11" s="152">
        <f t="shared" si="5"/>
        <v>164.01071489958673</v>
      </c>
      <c r="AC11" s="325">
        <f t="shared" ref="AC11:AC16" si="6">AVERAGE(Q11:AB11)</f>
        <v>166.3531677989923</v>
      </c>
      <c r="AD11" s="292">
        <f>(AD20-AD12*AD7-AD15*(AD9-AD10)/1000*(1-AD21)-AD14*AD10/1000*(1-AD21))/(AD6-AD7)</f>
        <v>164.90993921328737</v>
      </c>
      <c r="AE11" s="152">
        <f t="shared" ref="AE11:AO11" si="7">(AE20-AE12*AE7-AE15*(AE9-AE10)/1000*(1-AE21)-AE14*AE10/1000*(1-AE21))/(AE6-AE7)</f>
        <v>165.57088728399518</v>
      </c>
      <c r="AF11" s="152">
        <f t="shared" si="7"/>
        <v>163.14120726494832</v>
      </c>
      <c r="AG11" s="152">
        <f t="shared" si="7"/>
        <v>161.65336413956629</v>
      </c>
      <c r="AH11" s="152">
        <f t="shared" si="7"/>
        <v>164.92483898376034</v>
      </c>
      <c r="AI11" s="152">
        <f t="shared" si="7"/>
        <v>170.36409086080491</v>
      </c>
      <c r="AJ11" s="152">
        <f t="shared" si="7"/>
        <v>177.72260274622636</v>
      </c>
      <c r="AK11" s="152">
        <f t="shared" si="7"/>
        <v>176.2883208237084</v>
      </c>
      <c r="AL11" s="152">
        <f t="shared" si="7"/>
        <v>172.50853510257573</v>
      </c>
      <c r="AM11" s="152">
        <f>(AM20-AM12*AM7-AM15*(AM9-AM10)/1000*(1-AM21)-AM14*AM10/1000*(1-AM21))/(AM6-AM7)</f>
        <v>164.83556526357251</v>
      </c>
      <c r="AN11" s="152">
        <f t="shared" si="7"/>
        <v>166.15091172120901</v>
      </c>
      <c r="AO11" s="152">
        <f t="shared" si="7"/>
        <v>165.32283473796053</v>
      </c>
      <c r="AP11" s="325">
        <f t="shared" ref="AP11:AP16" si="8">AVERAGE(AD11:AO11)</f>
        <v>167.78275817846793</v>
      </c>
      <c r="AQ11" s="301">
        <f>(AQ20-AQ12*AQ7-AQ15*(AQ9-AQ10)/1000*(1-AQ21)-AQ14*AQ10/1000*(1-AQ21))/(AQ6-AQ7)</f>
        <v>165.68417448463717</v>
      </c>
      <c r="AR11" s="153">
        <f t="shared" ref="AR11:BA11" si="9">(AR20-AR12*AR7-AR15*(AR9-AR10)/1000*(1-AR21)-AR14*AR10/1000*(1-AR21))/(AR6-AR7)</f>
        <v>164.4316600235874</v>
      </c>
      <c r="AS11" s="153">
        <f t="shared" si="9"/>
        <v>162.86573313830965</v>
      </c>
      <c r="AT11" s="153">
        <f t="shared" si="9"/>
        <v>164.8500359572584</v>
      </c>
      <c r="AU11" s="153">
        <f t="shared" si="9"/>
        <v>171.5197122130059</v>
      </c>
      <c r="AV11" s="153">
        <f t="shared" si="9"/>
        <v>179.39035201594535</v>
      </c>
      <c r="AW11" s="153">
        <f t="shared" si="9"/>
        <v>180.85497188887973</v>
      </c>
      <c r="AX11" s="153">
        <f t="shared" si="9"/>
        <v>180.43518013334986</v>
      </c>
      <c r="AY11" s="153">
        <f t="shared" si="9"/>
        <v>174.87211440888512</v>
      </c>
      <c r="AZ11" s="153">
        <f>(AZ20-AZ12*AZ7-AZ15*(AZ9-AZ10)/1000*(1-AZ21)-AZ14*AZ10/1000*(1-AZ21))/(AZ6-AZ7)</f>
        <v>165.77615424074358</v>
      </c>
      <c r="BA11" s="153">
        <f t="shared" si="9"/>
        <v>164.04684698787833</v>
      </c>
      <c r="BB11" s="153">
        <f>(BB20-BB12*BB7-BB15*(BB9-BB10)/1000*(1-BB21)-BB14*BB10/1000*(1-BB21))/(BB6-BB7)</f>
        <v>164.16337436705601</v>
      </c>
      <c r="BC11" s="325">
        <f t="shared" ref="BC11:BC16" si="10">AVERAGE(AQ11:BB11)</f>
        <v>169.90752582162807</v>
      </c>
      <c r="BD11" s="151"/>
    </row>
    <row r="12" spans="2:61" s="219" customFormat="1" x14ac:dyDescent="0.25">
      <c r="B12" s="158" t="s">
        <v>69</v>
      </c>
      <c r="C12" s="143" t="s">
        <v>43</v>
      </c>
      <c r="D12" s="159">
        <v>153.81381583372573</v>
      </c>
      <c r="E12" s="159">
        <v>155.1880410366887</v>
      </c>
      <c r="F12" s="159">
        <v>153.90747246907384</v>
      </c>
      <c r="G12" s="159">
        <v>154.6519826746802</v>
      </c>
      <c r="H12" s="159">
        <v>154.46478092068773</v>
      </c>
      <c r="I12" s="159">
        <v>0</v>
      </c>
      <c r="J12" s="159">
        <v>0</v>
      </c>
      <c r="K12" s="159">
        <v>154.79876160990713</v>
      </c>
      <c r="L12" s="159">
        <v>154.57643622200584</v>
      </c>
      <c r="M12" s="159">
        <v>154.41100424035579</v>
      </c>
      <c r="N12" s="159">
        <v>153.76627871760482</v>
      </c>
      <c r="O12" s="159">
        <v>153.94950129240476</v>
      </c>
      <c r="P12" s="335">
        <f>SUMPRODUCT(D12:O12,D7:O7)/P7</f>
        <v>154.31510161844281</v>
      </c>
      <c r="Q12" s="295">
        <v>153.77586080853865</v>
      </c>
      <c r="R12" s="159">
        <v>153.85673983348241</v>
      </c>
      <c r="S12" s="159">
        <v>153.81995299567424</v>
      </c>
      <c r="T12" s="159">
        <v>153.9970008074749</v>
      </c>
      <c r="U12" s="159">
        <v>153.76052320322827</v>
      </c>
      <c r="V12" s="159">
        <v>152.93484114162629</v>
      </c>
      <c r="W12" s="159">
        <v>0</v>
      </c>
      <c r="X12" s="159">
        <v>152.76804484933427</v>
      </c>
      <c r="Y12" s="159">
        <v>153.53574173712528</v>
      </c>
      <c r="Z12" s="159">
        <v>153.72076541459958</v>
      </c>
      <c r="AA12" s="159">
        <v>153.60460891680074</v>
      </c>
      <c r="AB12" s="159">
        <v>153.6479607867781</v>
      </c>
      <c r="AC12" s="340">
        <f>SUMPRODUCT(Q12:AB12,Q7:AB7)/AC7</f>
        <v>153.7388793331894</v>
      </c>
      <c r="AD12" s="295">
        <v>153.64536891425237</v>
      </c>
      <c r="AE12" s="159">
        <v>153.65571470908861</v>
      </c>
      <c r="AF12" s="159">
        <v>153.59479215615363</v>
      </c>
      <c r="AG12" s="159">
        <v>153.63924679588985</v>
      </c>
      <c r="AH12" s="159">
        <v>153.75300239718865</v>
      </c>
      <c r="AI12" s="159">
        <v>152.71659324522761</v>
      </c>
      <c r="AJ12" s="159">
        <v>0</v>
      </c>
      <c r="AK12" s="159">
        <v>152.64802151723785</v>
      </c>
      <c r="AL12" s="159">
        <v>154.79106193909928</v>
      </c>
      <c r="AM12" s="159">
        <v>153.84256425510378</v>
      </c>
      <c r="AN12" s="159">
        <v>153.82164659454284</v>
      </c>
      <c r="AO12" s="159">
        <v>153.76698536759991</v>
      </c>
      <c r="AP12" s="340">
        <f>SUMPRODUCT(AD12:AO12,AD7:AO7)/AP7</f>
        <v>153.71608327926759</v>
      </c>
      <c r="AQ12" s="316">
        <v>153.77058383233535</v>
      </c>
      <c r="AR12" s="160">
        <v>153.74291973395964</v>
      </c>
      <c r="AS12" s="160">
        <v>153.56527031139058</v>
      </c>
      <c r="AT12" s="160">
        <v>153.82969619169876</v>
      </c>
      <c r="AU12" s="160">
        <v>153.52763830018759</v>
      </c>
      <c r="AV12" s="160">
        <v>0</v>
      </c>
      <c r="AW12" s="160">
        <v>0</v>
      </c>
      <c r="AX12" s="161">
        <v>153.00552571835738</v>
      </c>
      <c r="AY12" s="161">
        <v>0</v>
      </c>
      <c r="AZ12" s="161">
        <v>153.78300896199275</v>
      </c>
      <c r="BA12" s="161">
        <v>153.7950512141197</v>
      </c>
      <c r="BB12" s="161">
        <v>153.73890453514394</v>
      </c>
      <c r="BC12" s="340">
        <f>SUMPRODUCT(AQ12:BB12,AQ7:BB7)/BC7</f>
        <v>153.74441179285137</v>
      </c>
      <c r="BD12" s="162"/>
    </row>
    <row r="13" spans="2:61" s="219" customFormat="1" ht="36.75" customHeight="1" x14ac:dyDescent="0.25">
      <c r="B13" s="158" t="s">
        <v>70</v>
      </c>
      <c r="C13" s="143" t="s">
        <v>43</v>
      </c>
      <c r="D13" s="159">
        <v>163.64164015912431</v>
      </c>
      <c r="E13" s="159">
        <v>164.17509852213846</v>
      </c>
      <c r="F13" s="159">
        <v>161.95711954551209</v>
      </c>
      <c r="G13" s="159">
        <v>162.79134964387646</v>
      </c>
      <c r="H13" s="159">
        <v>165.73350841216455</v>
      </c>
      <c r="I13" s="159">
        <v>170.56780838117811</v>
      </c>
      <c r="J13" s="159">
        <v>174.48422720051141</v>
      </c>
      <c r="K13" s="159">
        <v>172.84404994962662</v>
      </c>
      <c r="L13" s="159">
        <v>169.32839680891411</v>
      </c>
      <c r="M13" s="159">
        <v>163.41653476295321</v>
      </c>
      <c r="N13" s="159">
        <v>164.51699161107001</v>
      </c>
      <c r="O13" s="159">
        <v>165.38449432408265</v>
      </c>
      <c r="P13" s="325">
        <f t="shared" ref="P13:P16" si="11">AVERAGE(D13:O13)</f>
        <v>166.57010161009603</v>
      </c>
      <c r="Q13" s="295">
        <v>165.46000419198143</v>
      </c>
      <c r="R13" s="159">
        <v>162.64141680333412</v>
      </c>
      <c r="S13" s="159">
        <v>163.3045356003486</v>
      </c>
      <c r="T13" s="159">
        <v>162.44961742711661</v>
      </c>
      <c r="U13" s="159">
        <v>166.1037831291178</v>
      </c>
      <c r="V13" s="159">
        <v>170.46536961491049</v>
      </c>
      <c r="W13" s="159">
        <v>171.68638560734988</v>
      </c>
      <c r="X13" s="159">
        <v>173.91042023332685</v>
      </c>
      <c r="Y13" s="159">
        <v>165.44328105442139</v>
      </c>
      <c r="Z13" s="159">
        <v>164.29918123562103</v>
      </c>
      <c r="AA13" s="159">
        <v>166.46330379079262</v>
      </c>
      <c r="AB13" s="159">
        <v>164.01071489958673</v>
      </c>
      <c r="AC13" s="325">
        <f t="shared" si="6"/>
        <v>166.3531677989923</v>
      </c>
      <c r="AD13" s="295">
        <v>164.90993921328737</v>
      </c>
      <c r="AE13" s="159">
        <v>165.57088728399518</v>
      </c>
      <c r="AF13" s="159">
        <v>163.14120726494832</v>
      </c>
      <c r="AG13" s="159">
        <v>161.65336413956629</v>
      </c>
      <c r="AH13" s="159">
        <v>164.92483898376034</v>
      </c>
      <c r="AI13" s="159">
        <v>170.36409086080491</v>
      </c>
      <c r="AJ13" s="159">
        <v>177.72260274622636</v>
      </c>
      <c r="AK13" s="159">
        <v>176.2883208237084</v>
      </c>
      <c r="AL13" s="159">
        <v>172.50853510257573</v>
      </c>
      <c r="AM13" s="159">
        <v>164.83556526357251</v>
      </c>
      <c r="AN13" s="159">
        <v>166.15091172120901</v>
      </c>
      <c r="AO13" s="159">
        <v>165.32283473796053</v>
      </c>
      <c r="AP13" s="325">
        <f t="shared" si="8"/>
        <v>167.78275817846793</v>
      </c>
      <c r="AQ13" s="316">
        <v>165.68417448463717</v>
      </c>
      <c r="AR13" s="160">
        <v>164.4316600235874</v>
      </c>
      <c r="AS13" s="160">
        <v>162.86573313830965</v>
      </c>
      <c r="AT13" s="160">
        <v>164.8500359572584</v>
      </c>
      <c r="AU13" s="160">
        <v>171.5197122130059</v>
      </c>
      <c r="AV13" s="160">
        <v>179.39035201594535</v>
      </c>
      <c r="AW13" s="160">
        <v>180.85497188887973</v>
      </c>
      <c r="AX13" s="161">
        <v>180.43518013334986</v>
      </c>
      <c r="AY13" s="161">
        <v>174.87211440888512</v>
      </c>
      <c r="AZ13" s="161">
        <v>165.77615424074358</v>
      </c>
      <c r="BA13" s="161">
        <v>164.04684698787833</v>
      </c>
      <c r="BB13" s="161">
        <v>164.16337436705601</v>
      </c>
      <c r="BC13" s="325">
        <f t="shared" si="10"/>
        <v>169.90752582162807</v>
      </c>
      <c r="BD13" s="162"/>
    </row>
    <row r="14" spans="2:61" s="219" customFormat="1" x14ac:dyDescent="0.25">
      <c r="B14" s="158" t="s">
        <v>71</v>
      </c>
      <c r="C14" s="143" t="s">
        <v>72</v>
      </c>
      <c r="D14" s="163">
        <v>155.65424237341458</v>
      </c>
      <c r="E14" s="163">
        <v>155.89641009791063</v>
      </c>
      <c r="F14" s="163">
        <v>154.30519149297663</v>
      </c>
      <c r="G14" s="220">
        <v>151.60921919393408</v>
      </c>
      <c r="H14" s="163">
        <v>152.54307442409799</v>
      </c>
      <c r="I14" s="163">
        <v>151.4439186356947</v>
      </c>
      <c r="J14" s="163">
        <v>152.25879166903439</v>
      </c>
      <c r="K14" s="163">
        <v>146.34112663123932</v>
      </c>
      <c r="L14" s="159">
        <v>151.67878432076134</v>
      </c>
      <c r="M14" s="159">
        <v>153.29444679167793</v>
      </c>
      <c r="N14" s="159">
        <v>154.36181564964139</v>
      </c>
      <c r="O14" s="159">
        <v>156.72329636256174</v>
      </c>
      <c r="P14" s="325">
        <f t="shared" si="11"/>
        <v>153.00919313691205</v>
      </c>
      <c r="Q14" s="296">
        <v>155.48063492336763</v>
      </c>
      <c r="R14" s="163">
        <v>153.97427426816637</v>
      </c>
      <c r="S14" s="163">
        <v>154.1044611465326</v>
      </c>
      <c r="T14" s="220">
        <v>151.8024154912477</v>
      </c>
      <c r="U14" s="163">
        <v>151.88315098491918</v>
      </c>
      <c r="V14" s="163">
        <v>145.86868426504631</v>
      </c>
      <c r="W14" s="163">
        <v>148.42156948136073</v>
      </c>
      <c r="X14" s="163">
        <v>160.55759598563992</v>
      </c>
      <c r="Y14" s="159">
        <v>151.35885752380347</v>
      </c>
      <c r="Z14" s="159">
        <v>152.14024196126616</v>
      </c>
      <c r="AA14" s="159">
        <v>152.60372679449085</v>
      </c>
      <c r="AB14" s="159">
        <v>154.82975567004243</v>
      </c>
      <c r="AC14" s="325">
        <f t="shared" si="6"/>
        <v>152.75211404132364</v>
      </c>
      <c r="AD14" s="296">
        <v>156.96769600110491</v>
      </c>
      <c r="AE14" s="163">
        <v>155.56888399209507</v>
      </c>
      <c r="AF14" s="163">
        <v>152.47849035687162</v>
      </c>
      <c r="AG14" s="220">
        <v>153.18783258391446</v>
      </c>
      <c r="AH14" s="163">
        <v>152.92357755855903</v>
      </c>
      <c r="AI14" s="163">
        <v>147.72154824859109</v>
      </c>
      <c r="AJ14" s="163">
        <v>153.39697517137844</v>
      </c>
      <c r="AK14" s="163">
        <v>151.99351894602071</v>
      </c>
      <c r="AL14" s="159">
        <v>148.35862179529639</v>
      </c>
      <c r="AM14" s="159">
        <v>152.59899577097792</v>
      </c>
      <c r="AN14" s="159">
        <v>154.36175980929426</v>
      </c>
      <c r="AO14" s="159">
        <v>155.25467140615157</v>
      </c>
      <c r="AP14" s="325">
        <f t="shared" si="8"/>
        <v>152.90104763668793</v>
      </c>
      <c r="AQ14" s="296">
        <v>155.83832408226343</v>
      </c>
      <c r="AR14" s="163">
        <v>154.84567749824996</v>
      </c>
      <c r="AS14" s="163">
        <v>152.97077519140726</v>
      </c>
      <c r="AT14" s="220">
        <v>153.4379058850117</v>
      </c>
      <c r="AU14" s="163">
        <v>154.84281338362214</v>
      </c>
      <c r="AV14" s="163">
        <v>156.88464668770584</v>
      </c>
      <c r="AW14" s="163">
        <v>156.61050186532631</v>
      </c>
      <c r="AX14" s="164">
        <v>156.32214432921114</v>
      </c>
      <c r="AY14" s="161">
        <v>153.79251883733042</v>
      </c>
      <c r="AZ14" s="161">
        <v>153.67709979252322</v>
      </c>
      <c r="BA14" s="161">
        <v>153.5005481502844</v>
      </c>
      <c r="BB14" s="161">
        <v>155.90790385275389</v>
      </c>
      <c r="BC14" s="325">
        <f t="shared" si="10"/>
        <v>154.88590496297414</v>
      </c>
      <c r="BD14" s="162"/>
    </row>
    <row r="15" spans="2:61" s="219" customFormat="1" x14ac:dyDescent="0.25">
      <c r="B15" s="158" t="s">
        <v>73</v>
      </c>
      <c r="C15" s="143" t="s">
        <v>72</v>
      </c>
      <c r="D15" s="163">
        <v>346.86653630985455</v>
      </c>
      <c r="E15" s="163">
        <v>343.90275359480228</v>
      </c>
      <c r="F15" s="163">
        <v>342.63403880213582</v>
      </c>
      <c r="G15" s="220">
        <v>322.14941099965529</v>
      </c>
      <c r="H15" s="163">
        <v>359.45607336266971</v>
      </c>
      <c r="I15" s="163">
        <v>332.29525784290286</v>
      </c>
      <c r="J15" s="163">
        <v>341.13923034113827</v>
      </c>
      <c r="K15" s="163">
        <v>343.46278008628582</v>
      </c>
      <c r="L15" s="159">
        <v>355.10236472155009</v>
      </c>
      <c r="M15" s="159">
        <v>365.47175773271596</v>
      </c>
      <c r="N15" s="159">
        <v>387.54282479498437</v>
      </c>
      <c r="O15" s="159">
        <v>410.31575948343777</v>
      </c>
      <c r="P15" s="325">
        <f t="shared" si="11"/>
        <v>354.1948990060111</v>
      </c>
      <c r="Q15" s="296">
        <v>388.93640677534421</v>
      </c>
      <c r="R15" s="163">
        <v>388.08179323701182</v>
      </c>
      <c r="S15" s="163">
        <v>373.13413274889535</v>
      </c>
      <c r="T15" s="220">
        <v>359.9088247083119</v>
      </c>
      <c r="U15" s="163">
        <v>387.4708330272951</v>
      </c>
      <c r="V15" s="163">
        <v>348.5809320021441</v>
      </c>
      <c r="W15" s="163">
        <v>329.32475494138919</v>
      </c>
      <c r="X15" s="163">
        <v>340.65382848786112</v>
      </c>
      <c r="Y15" s="159">
        <v>340.61860836798093</v>
      </c>
      <c r="Z15" s="159">
        <v>391.68265276568553</v>
      </c>
      <c r="AA15" s="159">
        <v>435.54763805611242</v>
      </c>
      <c r="AB15" s="159">
        <v>438.76458625110251</v>
      </c>
      <c r="AC15" s="325">
        <f t="shared" si="6"/>
        <v>376.89208261409448</v>
      </c>
      <c r="AD15" s="296">
        <v>449.4229053065676</v>
      </c>
      <c r="AE15" s="163">
        <v>409.76852780711681</v>
      </c>
      <c r="AF15" s="163">
        <v>376.22197150026682</v>
      </c>
      <c r="AG15" s="220">
        <v>380.38666601161896</v>
      </c>
      <c r="AH15" s="163">
        <v>406.38069920883379</v>
      </c>
      <c r="AI15" s="163">
        <v>396.31281669197375</v>
      </c>
      <c r="AJ15" s="163">
        <v>386.01368728872308</v>
      </c>
      <c r="AK15" s="163">
        <v>366.61731982860096</v>
      </c>
      <c r="AL15" s="159">
        <v>346.26175061549236</v>
      </c>
      <c r="AM15" s="159">
        <v>384.75985015949942</v>
      </c>
      <c r="AN15" s="159">
        <v>389.80907775183863</v>
      </c>
      <c r="AO15" s="159">
        <v>413.10404388346376</v>
      </c>
      <c r="AP15" s="325">
        <f t="shared" si="8"/>
        <v>392.08827633783289</v>
      </c>
      <c r="AQ15" s="296">
        <v>442.05583899071223</v>
      </c>
      <c r="AR15" s="163">
        <v>424.210315276225</v>
      </c>
      <c r="AS15" s="163">
        <v>416.56732804355636</v>
      </c>
      <c r="AT15" s="220">
        <v>484.10761545005897</v>
      </c>
      <c r="AU15" s="163">
        <v>473.47599228846542</v>
      </c>
      <c r="AV15" s="163">
        <v>360.88988278676101</v>
      </c>
      <c r="AW15" s="163">
        <v>377.46056360525165</v>
      </c>
      <c r="AX15" s="164">
        <v>360.00214141832015</v>
      </c>
      <c r="AY15" s="161">
        <v>364.02021800582702</v>
      </c>
      <c r="AZ15" s="161">
        <v>418.01458315941966</v>
      </c>
      <c r="BA15" s="161">
        <v>453.96880497872564</v>
      </c>
      <c r="BB15" s="161">
        <v>476.64518327703485</v>
      </c>
      <c r="BC15" s="325">
        <f t="shared" si="10"/>
        <v>420.95153894002982</v>
      </c>
      <c r="BD15" s="162"/>
    </row>
    <row r="16" spans="2:61" s="219" customFormat="1" ht="21" customHeight="1" x14ac:dyDescent="0.25">
      <c r="B16" s="165" t="s">
        <v>74</v>
      </c>
      <c r="C16" s="206" t="s">
        <v>75</v>
      </c>
      <c r="D16" s="159">
        <f>D10/(D6-D7-D8)</f>
        <v>661.29812585593265</v>
      </c>
      <c r="E16" s="159">
        <f t="shared" ref="E16:O16" si="12">E10/(E6-E7-E8)</f>
        <v>649.23888773520389</v>
      </c>
      <c r="F16" s="159">
        <f t="shared" si="12"/>
        <v>665.63749887599681</v>
      </c>
      <c r="G16" s="159">
        <f t="shared" si="12"/>
        <v>598.89507472728587</v>
      </c>
      <c r="H16" s="159">
        <f t="shared" si="12"/>
        <v>593.87532825609992</v>
      </c>
      <c r="I16" s="159">
        <f t="shared" si="12"/>
        <v>644.3244088299391</v>
      </c>
      <c r="J16" s="159">
        <f t="shared" si="12"/>
        <v>597.83418250170917</v>
      </c>
      <c r="K16" s="159">
        <f t="shared" si="12"/>
        <v>623.76515073503469</v>
      </c>
      <c r="L16" s="159">
        <f t="shared" si="12"/>
        <v>666.15347352549236</v>
      </c>
      <c r="M16" s="159">
        <f t="shared" si="12"/>
        <v>659.02895107229472</v>
      </c>
      <c r="N16" s="159">
        <f t="shared" si="12"/>
        <v>649.83998418150259</v>
      </c>
      <c r="O16" s="159">
        <f t="shared" si="12"/>
        <v>650.69285593551081</v>
      </c>
      <c r="P16" s="325">
        <f t="shared" si="11"/>
        <v>638.38199351933361</v>
      </c>
      <c r="Q16" s="295">
        <f>Q10/(Q6-Q7-Q8)</f>
        <v>624.2114962080941</v>
      </c>
      <c r="R16" s="159">
        <f t="shared" ref="R16:AB16" si="13">R10/(R6-R7-R8)</f>
        <v>645.42114899421244</v>
      </c>
      <c r="S16" s="159">
        <f t="shared" si="13"/>
        <v>655.35606387558016</v>
      </c>
      <c r="T16" s="159">
        <f t="shared" si="13"/>
        <v>641.84452518087653</v>
      </c>
      <c r="U16" s="159">
        <f t="shared" si="13"/>
        <v>578.31238257932614</v>
      </c>
      <c r="V16" s="159">
        <f t="shared" si="13"/>
        <v>611.01672752706133</v>
      </c>
      <c r="W16" s="159">
        <f t="shared" si="13"/>
        <v>578.49105655253607</v>
      </c>
      <c r="X16" s="159">
        <f t="shared" si="13"/>
        <v>601.44719704884051</v>
      </c>
      <c r="Y16" s="159">
        <f t="shared" si="13"/>
        <v>683.5221332721942</v>
      </c>
      <c r="Z16" s="159">
        <f t="shared" si="13"/>
        <v>656.59412227752455</v>
      </c>
      <c r="AA16" s="159">
        <f t="shared" si="13"/>
        <v>607.43708373120955</v>
      </c>
      <c r="AB16" s="159">
        <f t="shared" si="13"/>
        <v>614.32717834519917</v>
      </c>
      <c r="AC16" s="325">
        <f t="shared" si="6"/>
        <v>624.83175963272117</v>
      </c>
      <c r="AD16" s="295">
        <f>AD10/(AD6-AD7-AD8)</f>
        <v>629.63603322530503</v>
      </c>
      <c r="AE16" s="159">
        <f t="shared" ref="AE16:AO16" si="14">AE10/(AE6-AE7-AE8)</f>
        <v>631.94203587539369</v>
      </c>
      <c r="AF16" s="159">
        <f t="shared" si="14"/>
        <v>636.15427508632729</v>
      </c>
      <c r="AG16" s="159">
        <f t="shared" si="14"/>
        <v>661.51102404432811</v>
      </c>
      <c r="AH16" s="159">
        <f t="shared" si="14"/>
        <v>697.78248452274943</v>
      </c>
      <c r="AI16" s="159">
        <f t="shared" si="14"/>
        <v>576.08228551331024</v>
      </c>
      <c r="AJ16" s="159">
        <f t="shared" si="14"/>
        <v>544.35364757307991</v>
      </c>
      <c r="AK16" s="159">
        <f t="shared" si="14"/>
        <v>548.09302717460127</v>
      </c>
      <c r="AL16" s="159">
        <f t="shared" si="14"/>
        <v>545.73698092312941</v>
      </c>
      <c r="AM16" s="159">
        <f t="shared" si="14"/>
        <v>623.34974799843667</v>
      </c>
      <c r="AN16" s="159">
        <f t="shared" si="14"/>
        <v>596.68569606592359</v>
      </c>
      <c r="AO16" s="159">
        <f t="shared" si="14"/>
        <v>621.60046308928486</v>
      </c>
      <c r="AP16" s="325">
        <f t="shared" si="8"/>
        <v>609.41064175765575</v>
      </c>
      <c r="AQ16" s="304">
        <f>AQ10/(AQ6-AQ7-AQ8)</f>
        <v>629.38889888564233</v>
      </c>
      <c r="AR16" s="161">
        <f t="shared" ref="AR16:BB16" si="15">AR10/(AR6-AR7-AR8)</f>
        <v>632.00024604946918</v>
      </c>
      <c r="AS16" s="161">
        <f t="shared" si="15"/>
        <v>635.32734154133288</v>
      </c>
      <c r="AT16" s="161">
        <f t="shared" si="15"/>
        <v>581.24637024843901</v>
      </c>
      <c r="AU16" s="161">
        <f t="shared" si="15"/>
        <v>565.32435240638006</v>
      </c>
      <c r="AV16" s="161">
        <f t="shared" si="15"/>
        <v>553.212657588762</v>
      </c>
      <c r="AW16" s="161">
        <f t="shared" si="15"/>
        <v>564.75965888448559</v>
      </c>
      <c r="AX16" s="161">
        <f t="shared" si="15"/>
        <v>579.48689464088375</v>
      </c>
      <c r="AY16" s="161">
        <f t="shared" si="15"/>
        <v>569.0880572226838</v>
      </c>
      <c r="AZ16" s="161">
        <f t="shared" si="15"/>
        <v>683.94185438664181</v>
      </c>
      <c r="BA16" s="161">
        <f t="shared" si="15"/>
        <v>660.46991951333825</v>
      </c>
      <c r="BB16" s="161">
        <f t="shared" si="15"/>
        <v>649.16271231798578</v>
      </c>
      <c r="BC16" s="325">
        <f t="shared" si="10"/>
        <v>608.61741364050374</v>
      </c>
      <c r="BD16" s="162"/>
    </row>
    <row r="17" spans="2:66" s="150" customFormat="1" x14ac:dyDescent="0.2">
      <c r="B17" s="69" t="s">
        <v>76</v>
      </c>
      <c r="C17" s="143" t="s">
        <v>77</v>
      </c>
      <c r="D17" s="144">
        <f>D7/D6</f>
        <v>0.32812178102955603</v>
      </c>
      <c r="E17" s="144">
        <f t="shared" ref="E17:O17" si="16">E7/E6</f>
        <v>0.39500941738679402</v>
      </c>
      <c r="F17" s="144">
        <f t="shared" si="16"/>
        <v>0.21898541927415832</v>
      </c>
      <c r="G17" s="144">
        <f t="shared" si="16"/>
        <v>0.28566958154413169</v>
      </c>
      <c r="H17" s="144">
        <f t="shared" si="16"/>
        <v>0.2150646234667303</v>
      </c>
      <c r="I17" s="144">
        <f t="shared" si="16"/>
        <v>0</v>
      </c>
      <c r="J17" s="144">
        <f t="shared" si="16"/>
        <v>0</v>
      </c>
      <c r="K17" s="144">
        <f t="shared" si="16"/>
        <v>1.3073068614986414E-2</v>
      </c>
      <c r="L17" s="144">
        <f t="shared" si="16"/>
        <v>0.13520182296623753</v>
      </c>
      <c r="M17" s="144">
        <f t="shared" si="16"/>
        <v>8.8543722927469398E-2</v>
      </c>
      <c r="N17" s="144">
        <f t="shared" si="16"/>
        <v>0.17463253349774313</v>
      </c>
      <c r="O17" s="144">
        <f t="shared" si="16"/>
        <v>0.35161474243145452</v>
      </c>
      <c r="P17" s="326">
        <f t="shared" ref="P17" si="17">P7/P6</f>
        <v>0.25569782119935103</v>
      </c>
      <c r="Q17" s="297">
        <f>Q7/Q6</f>
        <v>0.30113870894951483</v>
      </c>
      <c r="R17" s="144">
        <f t="shared" ref="R17:AB17" si="18">R7/R6</f>
        <v>0.10489377864044455</v>
      </c>
      <c r="S17" s="144">
        <f t="shared" si="18"/>
        <v>0.1976211785633962</v>
      </c>
      <c r="T17" s="144">
        <f t="shared" si="18"/>
        <v>0.22895386828123829</v>
      </c>
      <c r="U17" s="144">
        <f t="shared" si="18"/>
        <v>0.23662214326401326</v>
      </c>
      <c r="V17" s="144">
        <f t="shared" si="18"/>
        <v>7.0341723225074523E-2</v>
      </c>
      <c r="W17" s="144">
        <f t="shared" si="18"/>
        <v>0</v>
      </c>
      <c r="X17" s="144">
        <f t="shared" si="18"/>
        <v>2.9788756481794548E-2</v>
      </c>
      <c r="Y17" s="144">
        <f t="shared" si="18"/>
        <v>9.9874884998254726E-2</v>
      </c>
      <c r="Z17" s="144">
        <f t="shared" si="18"/>
        <v>0.19477704861005665</v>
      </c>
      <c r="AA17" s="144">
        <f t="shared" si="18"/>
        <v>0.25655397710628075</v>
      </c>
      <c r="AB17" s="144">
        <f t="shared" si="18"/>
        <v>0.26148602377496721</v>
      </c>
      <c r="AC17" s="326">
        <f t="shared" ref="AC17" si="19">AC7/AC6</f>
        <v>0.21011914824917993</v>
      </c>
      <c r="AD17" s="297">
        <f>AD7/AD6</f>
        <v>0.32938433216279989</v>
      </c>
      <c r="AE17" s="144">
        <f t="shared" ref="AE17:AO17" si="20">AE7/AE6</f>
        <v>0.29527910927830492</v>
      </c>
      <c r="AF17" s="144">
        <f t="shared" si="20"/>
        <v>0.15666713911429467</v>
      </c>
      <c r="AG17" s="144">
        <f t="shared" si="20"/>
        <v>0.14197092779092704</v>
      </c>
      <c r="AH17" s="144">
        <f t="shared" si="20"/>
        <v>6.8311708388582734E-2</v>
      </c>
      <c r="AI17" s="144">
        <f t="shared" si="20"/>
        <v>2.6423101735307378E-2</v>
      </c>
      <c r="AJ17" s="144">
        <f t="shared" si="20"/>
        <v>0</v>
      </c>
      <c r="AK17" s="144">
        <f t="shared" si="20"/>
        <v>1.2948087537770782E-2</v>
      </c>
      <c r="AL17" s="144">
        <f t="shared" si="20"/>
        <v>1.5177007468006118E-2</v>
      </c>
      <c r="AM17" s="144">
        <f t="shared" si="20"/>
        <v>0.20158896939801865</v>
      </c>
      <c r="AN17" s="144">
        <f t="shared" si="20"/>
        <v>0.34248189981580029</v>
      </c>
      <c r="AO17" s="144">
        <f t="shared" si="20"/>
        <v>0.3605863999823587</v>
      </c>
      <c r="AP17" s="326">
        <f t="shared" ref="AP17" si="21">AP7/AP6</f>
        <v>0.24724633073887725</v>
      </c>
      <c r="AQ17" s="297">
        <f>AQ7/AQ6</f>
        <v>0.39044723067136888</v>
      </c>
      <c r="AR17" s="144">
        <f t="shared" ref="AR17:BC17" si="22">AR7/AR6</f>
        <v>0.28901227592033751</v>
      </c>
      <c r="AS17" s="144">
        <f t="shared" si="22"/>
        <v>0.13709871569903015</v>
      </c>
      <c r="AT17" s="144">
        <f t="shared" si="22"/>
        <v>0.10013498352172691</v>
      </c>
      <c r="AU17" s="144">
        <f t="shared" si="22"/>
        <v>0.10282208582100991</v>
      </c>
      <c r="AV17" s="144">
        <f t="shared" si="22"/>
        <v>0</v>
      </c>
      <c r="AW17" s="144">
        <f t="shared" si="22"/>
        <v>0</v>
      </c>
      <c r="AX17" s="144">
        <f t="shared" si="22"/>
        <v>1.4396350308012203E-2</v>
      </c>
      <c r="AY17" s="144">
        <f t="shared" si="22"/>
        <v>0</v>
      </c>
      <c r="AZ17" s="144">
        <f t="shared" si="22"/>
        <v>0.2029640115659285</v>
      </c>
      <c r="BA17" s="144">
        <f t="shared" si="22"/>
        <v>0.22609234158745481</v>
      </c>
      <c r="BB17" s="144">
        <f t="shared" si="22"/>
        <v>0.21385280116991279</v>
      </c>
      <c r="BC17" s="326">
        <f t="shared" si="22"/>
        <v>0.2160145789259183</v>
      </c>
      <c r="BD17" s="151"/>
    </row>
    <row r="18" spans="2:66" s="150" customFormat="1" x14ac:dyDescent="0.2">
      <c r="B18" s="69" t="s">
        <v>78</v>
      </c>
      <c r="C18" s="143" t="s">
        <v>77</v>
      </c>
      <c r="D18" s="144">
        <f>(D9-D10)/D9</f>
        <v>0.16811553778686875</v>
      </c>
      <c r="E18" s="144">
        <f t="shared" ref="E18:O18" si="23">(E9-E10)/E9</f>
        <v>0.1989485525136431</v>
      </c>
      <c r="F18" s="144">
        <f t="shared" si="23"/>
        <v>0.15767530535710544</v>
      </c>
      <c r="G18" s="144">
        <f t="shared" si="23"/>
        <v>0.17878941311852703</v>
      </c>
      <c r="H18" s="144">
        <f t="shared" si="23"/>
        <v>0.39851012743951242</v>
      </c>
      <c r="I18" s="144">
        <f t="shared" si="23"/>
        <v>0.68706189583821586</v>
      </c>
      <c r="J18" s="144">
        <f t="shared" si="23"/>
        <v>0.75731086467500686</v>
      </c>
      <c r="K18" s="144">
        <f t="shared" si="23"/>
        <v>0.71457835287390947</v>
      </c>
      <c r="L18" s="144">
        <f t="shared" si="23"/>
        <v>0.47645024971187094</v>
      </c>
      <c r="M18" s="144">
        <f t="shared" si="23"/>
        <v>0.26395632033985661</v>
      </c>
      <c r="N18" s="144">
        <f t="shared" si="23"/>
        <v>0.21587600351700401</v>
      </c>
      <c r="O18" s="144">
        <f t="shared" si="23"/>
        <v>0.22507260081324229</v>
      </c>
      <c r="P18" s="326">
        <f t="shared" ref="P18" si="24">(P9-P10)/P9</f>
        <v>0.32035461160677264</v>
      </c>
      <c r="Q18" s="297">
        <f>(Q9-Q10)/Q9</f>
        <v>0.2498089633598882</v>
      </c>
      <c r="R18" s="144">
        <f t="shared" ref="R18:AB18" si="25">(R9-R10)/R9</f>
        <v>0.19403782525994837</v>
      </c>
      <c r="S18" s="144">
        <f t="shared" si="25"/>
        <v>0.23419438004574999</v>
      </c>
      <c r="T18" s="144">
        <f t="shared" si="25"/>
        <v>0.26139312438000512</v>
      </c>
      <c r="U18" s="144">
        <f t="shared" si="25"/>
        <v>0.36554054213917131</v>
      </c>
      <c r="V18" s="144">
        <f t="shared" si="25"/>
        <v>0.59360653871794733</v>
      </c>
      <c r="W18" s="144">
        <f t="shared" si="25"/>
        <v>0.72623613666365239</v>
      </c>
      <c r="X18" s="144">
        <f t="shared" si="25"/>
        <v>0.69986163819964964</v>
      </c>
      <c r="Y18" s="144">
        <f t="shared" si="25"/>
        <v>0.33890535198371702</v>
      </c>
      <c r="Z18" s="144">
        <f t="shared" si="25"/>
        <v>0.20772838459641921</v>
      </c>
      <c r="AA18" s="144">
        <f t="shared" si="25"/>
        <v>0.22476636066116093</v>
      </c>
      <c r="AB18" s="144">
        <f t="shared" si="25"/>
        <v>0.16296079010548845</v>
      </c>
      <c r="AC18" s="326">
        <f t="shared" ref="AC18" si="26">(AC9-AC10)/AC9</f>
        <v>0.30298542487867541</v>
      </c>
      <c r="AD18" s="297">
        <f>(AD9-AD10)/AD9</f>
        <v>0.17859932850209428</v>
      </c>
      <c r="AE18" s="144">
        <f t="shared" ref="AE18:AO18" si="27">(AE9-AE10)/AE9</f>
        <v>0.21058679640237912</v>
      </c>
      <c r="AF18" s="144">
        <f t="shared" si="27"/>
        <v>0.23608066421955579</v>
      </c>
      <c r="AG18" s="144">
        <f t="shared" si="27"/>
        <v>0.26457928833091421</v>
      </c>
      <c r="AH18" s="144">
        <f t="shared" si="27"/>
        <v>0.36959469778793508</v>
      </c>
      <c r="AI18" s="144">
        <f t="shared" si="27"/>
        <v>0.50837785523674939</v>
      </c>
      <c r="AJ18" s="144">
        <f t="shared" si="27"/>
        <v>0.71234338034817724</v>
      </c>
      <c r="AK18" s="144">
        <f t="shared" si="27"/>
        <v>0.79257968194881068</v>
      </c>
      <c r="AL18" s="144">
        <f t="shared" si="27"/>
        <v>0.69903583146678305</v>
      </c>
      <c r="AM18" s="144">
        <f t="shared" si="27"/>
        <v>0.26146097880669783</v>
      </c>
      <c r="AN18" s="144">
        <f t="shared" si="27"/>
        <v>0.23248614878706489</v>
      </c>
      <c r="AO18" s="144">
        <f t="shared" si="27"/>
        <v>0.22472539508559675</v>
      </c>
      <c r="AP18" s="326">
        <f t="shared" ref="AP18" si="28">(AP9-AP10)/AP9</f>
        <v>0.34210570230278475</v>
      </c>
      <c r="AQ18" s="297">
        <f>(AQ9-AQ10)/AQ9</f>
        <v>0.22906232870514201</v>
      </c>
      <c r="AR18" s="144">
        <f t="shared" ref="AR18:BC18" si="29">(AR9-AR10)/AR9</f>
        <v>0.21849303137083312</v>
      </c>
      <c r="AS18" s="144">
        <f t="shared" si="29"/>
        <v>0.20610764544572913</v>
      </c>
      <c r="AT18" s="144">
        <f t="shared" si="29"/>
        <v>0.20643588493417844</v>
      </c>
      <c r="AU18" s="144">
        <f t="shared" si="29"/>
        <v>0.36674519275745643</v>
      </c>
      <c r="AV18" s="144">
        <f t="shared" si="29"/>
        <v>0.78878052449281133</v>
      </c>
      <c r="AW18" s="144">
        <f t="shared" si="29"/>
        <v>0.84713351807893422</v>
      </c>
      <c r="AX18" s="144">
        <f t="shared" si="29"/>
        <v>0.79869344518355812</v>
      </c>
      <c r="AY18" s="144">
        <f t="shared" si="29"/>
        <v>0.70546118208619968</v>
      </c>
      <c r="AZ18" s="144">
        <f t="shared" si="29"/>
        <v>0.25771191401728677</v>
      </c>
      <c r="BA18" s="144">
        <f t="shared" si="29"/>
        <v>0.19003506939622763</v>
      </c>
      <c r="BB18" s="144">
        <f t="shared" si="29"/>
        <v>0.17800268259968297</v>
      </c>
      <c r="BC18" s="326">
        <f t="shared" si="29"/>
        <v>0.38304215293176086</v>
      </c>
      <c r="BD18" s="151"/>
    </row>
    <row r="19" spans="2:66" s="150" customFormat="1" x14ac:dyDescent="0.2">
      <c r="B19" s="69" t="s">
        <v>79</v>
      </c>
      <c r="C19" s="143" t="s">
        <v>77</v>
      </c>
      <c r="D19" s="166">
        <f>(D6-D7+D10/1000*(1-D21)*0.86)/(7*(D14*D10/1000*(1-D21)+D11*(D6-D7)))*1000</f>
        <v>0.84248977184507012</v>
      </c>
      <c r="E19" s="166">
        <f t="shared" ref="E19:O19" si="30">(E6-E7+E10/1000*(1-E21)*0.86)/(7*(E14*E10/1000*(1-E21)+E11*(E6-E7)))*1000</f>
        <v>0.8405959259603587</v>
      </c>
      <c r="F19" s="166">
        <f t="shared" si="30"/>
        <v>0.8505902472461041</v>
      </c>
      <c r="G19" s="166">
        <f t="shared" si="30"/>
        <v>0.85540345665484852</v>
      </c>
      <c r="H19" s="166">
        <f t="shared" si="30"/>
        <v>0.84348314109832001</v>
      </c>
      <c r="I19" s="166">
        <f t="shared" si="30"/>
        <v>0.82841361871917629</v>
      </c>
      <c r="J19" s="166">
        <f t="shared" si="30"/>
        <v>0.81497606478471096</v>
      </c>
      <c r="K19" s="166">
        <f t="shared" si="30"/>
        <v>0.83063395967824305</v>
      </c>
      <c r="L19" s="166">
        <f t="shared" si="30"/>
        <v>0.83199264377553628</v>
      </c>
      <c r="M19" s="166">
        <f>(M6-M7+M10/1000*(1-M21)*0.86)/(7*(M14*M10/1000*(1-M21)+M11*(M6-M7)))*1000</f>
        <v>0.84789616599867912</v>
      </c>
      <c r="N19" s="166">
        <f t="shared" si="30"/>
        <v>0.84245451013091099</v>
      </c>
      <c r="O19" s="166">
        <f t="shared" si="30"/>
        <v>0.83501915438868024</v>
      </c>
      <c r="P19" s="327">
        <f t="shared" ref="P19" si="31">(P6-P7+P10/1000*(1-P21)*0.86)/(7*(P14*P10/1000*(1-P21)+P11*(P6-P7)))*1000</f>
        <v>0.83846935111693677</v>
      </c>
      <c r="Q19" s="298">
        <f>(Q6-Q7+Q10/1000*(1-Q21)*0.86)/(7*(Q14*Q10/1000*(1-Q21)+Q11*(Q6-Q7)))*1000</f>
        <v>0.83791218816313184</v>
      </c>
      <c r="R19" s="166">
        <f t="shared" ref="R19:AB19" si="32">(R6-R7+R10/1000*(1-R21)*0.86)/(7*(R14*R10/1000*(1-R21)+R11*(R6-R7)))*1000</f>
        <v>0.84946403318016983</v>
      </c>
      <c r="S19" s="166">
        <f t="shared" si="32"/>
        <v>0.84689020502594659</v>
      </c>
      <c r="T19" s="166">
        <f t="shared" si="32"/>
        <v>0.8547129204417957</v>
      </c>
      <c r="U19" s="166">
        <f t="shared" si="32"/>
        <v>0.84374273046433934</v>
      </c>
      <c r="V19" s="166">
        <f t="shared" si="32"/>
        <v>0.83939211582907913</v>
      </c>
      <c r="W19" s="166">
        <f t="shared" si="32"/>
        <v>0.83071795233191204</v>
      </c>
      <c r="X19" s="166">
        <f t="shared" si="32"/>
        <v>0.80265317419566384</v>
      </c>
      <c r="Y19" s="166">
        <f t="shared" si="32"/>
        <v>0.84474556371805931</v>
      </c>
      <c r="Z19" s="166">
        <f>(Z6-Z7+Z10/1000*(1-Z21)*0.86)/(7*(Z14*Z10/1000*(1-Z21)+Z11*(Z6-Z7)))*1000</f>
        <v>0.84763910441271761</v>
      </c>
      <c r="AA19" s="166">
        <f t="shared" si="32"/>
        <v>0.84084154086922491</v>
      </c>
      <c r="AB19" s="166">
        <f t="shared" si="32"/>
        <v>0.84452896739263728</v>
      </c>
      <c r="AC19" s="327">
        <f t="shared" ref="AC19" si="33">(AC6-AC7+AC10/1000*(1-AC21)*0.86)/(7*(AC14*AC10/1000*(1-AC21)+AC11*(AC6-AC7)))*1000</f>
        <v>0.84008218262788104</v>
      </c>
      <c r="AD19" s="298">
        <f>(AD6-AD7+AD10/1000*(1-AD21)*0.86)/(7*(AD14*AD10/1000*(1-AD21)+AD11*(AD6-AD7)))*1000</f>
        <v>0.83689574831964841</v>
      </c>
      <c r="AE19" s="166">
        <f t="shared" ref="AE19:AO19" si="34">(AE6-AE7+AE10/1000*(1-AE21)*0.86)/(7*(AE14*AE10/1000*(1-AE21)+AE11*(AE6-AE7)))*1000</f>
        <v>0.83721984366051172</v>
      </c>
      <c r="AF19" s="166">
        <f t="shared" si="34"/>
        <v>0.85125012999747596</v>
      </c>
      <c r="AG19" s="166">
        <f t="shared" si="34"/>
        <v>0.85495714207180518</v>
      </c>
      <c r="AH19" s="166">
        <f t="shared" si="34"/>
        <v>0.8440425216586529</v>
      </c>
      <c r="AI19" s="166">
        <f t="shared" si="34"/>
        <v>0.83642599575610355</v>
      </c>
      <c r="AJ19" s="166">
        <f t="shared" si="34"/>
        <v>0.80294868599983305</v>
      </c>
      <c r="AK19" s="166">
        <f t="shared" si="34"/>
        <v>0.8097358117052903</v>
      </c>
      <c r="AL19" s="166">
        <f t="shared" si="34"/>
        <v>0.82811423181619637</v>
      </c>
      <c r="AM19" s="166">
        <f>(AM6-AM7+AM10/1000*(1-AM21)*0.86)/(7*(AM14*AM10/1000*(1-AM21)+AM11*(AM6-AM7)))*1000</f>
        <v>0.84565468482532946</v>
      </c>
      <c r="AN19" s="166">
        <f t="shared" si="34"/>
        <v>0.83869324516254862</v>
      </c>
      <c r="AO19" s="166">
        <f t="shared" si="34"/>
        <v>0.83919901400306096</v>
      </c>
      <c r="AP19" s="327">
        <f t="shared" ref="AP19" si="35">(AP6-AP7+AP10/1000*(1-AP21)*0.86)/(7*(AP14*AP10/1000*(1-AP21)+AP11*(AP6-AP7)))*1000</f>
        <v>0.83529523119766413</v>
      </c>
      <c r="AQ19" s="298">
        <f>(AQ6-AQ7+AQ10/1000*(1-AQ21)*0.86)/(7*(AQ14*AQ10/1000*(1-AQ21)+AQ11*(AQ6-AQ7)))*1000</f>
        <v>0.83647070305616578</v>
      </c>
      <c r="AR19" s="166">
        <f t="shared" ref="AR19:BC19" si="36">(AR6-AR7+AR10/1000*(1-AR21)*0.86)/(7*(AR14*AR10/1000*(1-AR21)+AR11*(AR6-AR7)))*1000</f>
        <v>0.84237306024814496</v>
      </c>
      <c r="AS19" s="166">
        <f t="shared" si="36"/>
        <v>0.85131445616327994</v>
      </c>
      <c r="AT19" s="166">
        <f t="shared" si="36"/>
        <v>0.84517134146830408</v>
      </c>
      <c r="AU19" s="166">
        <f t="shared" si="36"/>
        <v>0.82058742637429771</v>
      </c>
      <c r="AV19" s="166">
        <f t="shared" si="36"/>
        <v>0.7922473121077358</v>
      </c>
      <c r="AW19" s="166">
        <f t="shared" si="36"/>
        <v>0.78831298434377783</v>
      </c>
      <c r="AX19" s="166">
        <f t="shared" si="36"/>
        <v>0.78998367520186163</v>
      </c>
      <c r="AY19" s="166">
        <f t="shared" si="36"/>
        <v>0.8116618376535244</v>
      </c>
      <c r="AZ19" s="166">
        <f>(AZ6-AZ7+AZ10/1000*(1-AZ21)*0.86)/(7*(AZ14*AZ10/1000*(1-AZ21)+AZ11*(AZ6-AZ7)))*1000</f>
        <v>0.84012650686038737</v>
      </c>
      <c r="BA19" s="166">
        <f t="shared" si="36"/>
        <v>0.84643561772523024</v>
      </c>
      <c r="BB19" s="166">
        <f t="shared" si="36"/>
        <v>0.84144513588046022</v>
      </c>
      <c r="BC19" s="327">
        <f t="shared" si="36"/>
        <v>0.8248244779892111</v>
      </c>
      <c r="BD19" s="151"/>
    </row>
    <row r="20" spans="2:66" s="150" customFormat="1" x14ac:dyDescent="0.2">
      <c r="B20" s="167" t="s">
        <v>80</v>
      </c>
      <c r="C20" s="143" t="s">
        <v>81</v>
      </c>
      <c r="D20" s="168">
        <v>456430</v>
      </c>
      <c r="E20" s="168">
        <v>476275</v>
      </c>
      <c r="F20" s="169">
        <v>408055</v>
      </c>
      <c r="G20" s="221">
        <v>254460</v>
      </c>
      <c r="H20" s="168">
        <v>163485</v>
      </c>
      <c r="I20" s="168">
        <v>172390</v>
      </c>
      <c r="J20" s="168">
        <v>175310</v>
      </c>
      <c r="K20" s="168">
        <v>177090</v>
      </c>
      <c r="L20" s="170">
        <v>249470</v>
      </c>
      <c r="M20" s="171">
        <v>348370</v>
      </c>
      <c r="N20" s="168">
        <v>384285</v>
      </c>
      <c r="O20" s="170">
        <v>521200</v>
      </c>
      <c r="P20" s="324">
        <f t="shared" ref="P20" si="37">SUM(D20:O20)</f>
        <v>3786820</v>
      </c>
      <c r="Q20" s="299">
        <v>499820</v>
      </c>
      <c r="R20" s="168">
        <v>405685</v>
      </c>
      <c r="S20" s="169">
        <v>430180</v>
      </c>
      <c r="T20" s="221">
        <v>324605</v>
      </c>
      <c r="U20" s="168">
        <v>188120</v>
      </c>
      <c r="V20" s="168">
        <v>133590</v>
      </c>
      <c r="W20" s="168">
        <v>163105</v>
      </c>
      <c r="X20" s="168">
        <v>162045</v>
      </c>
      <c r="Y20" s="170">
        <v>180315</v>
      </c>
      <c r="Z20" s="171">
        <v>307485</v>
      </c>
      <c r="AA20" s="168">
        <v>409830</v>
      </c>
      <c r="AB20" s="170">
        <v>472635</v>
      </c>
      <c r="AC20" s="324">
        <f t="shared" ref="AC20" si="38">SUM(Q20:AB20)</f>
        <v>3677415</v>
      </c>
      <c r="AD20" s="299">
        <v>483979.99999999994</v>
      </c>
      <c r="AE20" s="168">
        <v>438050</v>
      </c>
      <c r="AF20" s="169">
        <v>427340</v>
      </c>
      <c r="AG20" s="221">
        <v>277855</v>
      </c>
      <c r="AH20" s="168">
        <v>137245</v>
      </c>
      <c r="AI20" s="168">
        <v>115670</v>
      </c>
      <c r="AJ20" s="168">
        <v>177595.00000000003</v>
      </c>
      <c r="AK20" s="168">
        <v>236160</v>
      </c>
      <c r="AL20" s="170">
        <v>171370</v>
      </c>
      <c r="AM20" s="171">
        <v>323600</v>
      </c>
      <c r="AN20" s="168">
        <v>376790</v>
      </c>
      <c r="AO20" s="170">
        <v>480790.00000000006</v>
      </c>
      <c r="AP20" s="324">
        <f t="shared" ref="AP20" si="39">SUM(AD20:AO20)</f>
        <v>3646445</v>
      </c>
      <c r="AQ20" s="299">
        <v>570840</v>
      </c>
      <c r="AR20" s="168">
        <v>478195</v>
      </c>
      <c r="AS20" s="169">
        <v>417420</v>
      </c>
      <c r="AT20" s="221">
        <v>274285</v>
      </c>
      <c r="AU20" s="168">
        <v>213074.99999999997</v>
      </c>
      <c r="AV20" s="168">
        <v>256190</v>
      </c>
      <c r="AW20" s="168">
        <v>281550</v>
      </c>
      <c r="AX20" s="168">
        <v>243614.99999999997</v>
      </c>
      <c r="AY20" s="170">
        <v>186855</v>
      </c>
      <c r="AZ20" s="171">
        <v>288055</v>
      </c>
      <c r="BA20" s="168">
        <v>385460</v>
      </c>
      <c r="BB20" s="170">
        <v>474630.00000000006</v>
      </c>
      <c r="BC20" s="324">
        <f t="shared" ref="BC20" si="40">SUM(AQ20:BB20)</f>
        <v>4070170</v>
      </c>
      <c r="BD20" s="151"/>
    </row>
    <row r="21" spans="2:66" s="150" customFormat="1" x14ac:dyDescent="0.2">
      <c r="B21" s="69" t="s">
        <v>82</v>
      </c>
      <c r="C21" s="143" t="s">
        <v>77</v>
      </c>
      <c r="D21" s="148">
        <v>8.8537647405203548E-2</v>
      </c>
      <c r="E21" s="145">
        <v>8.7319031136009861E-2</v>
      </c>
      <c r="F21" s="146">
        <v>8.7513356099809342E-2</v>
      </c>
      <c r="G21" s="147">
        <v>0.11870195627157652</v>
      </c>
      <c r="H21" s="147">
        <v>0.11212778838063577</v>
      </c>
      <c r="I21" s="147">
        <v>7.1291942891842999E-2</v>
      </c>
      <c r="J21" s="148">
        <v>7.6597340068668848E-2</v>
      </c>
      <c r="K21" s="147">
        <v>7.7847158618785967E-2</v>
      </c>
      <c r="L21" s="148">
        <v>8.6492508643872451E-2</v>
      </c>
      <c r="M21" s="147">
        <v>8.4346356780016493E-2</v>
      </c>
      <c r="N21" s="147">
        <v>8.7904113038983087E-2</v>
      </c>
      <c r="O21" s="147">
        <v>8.7108833019367407E-2</v>
      </c>
      <c r="P21" s="328">
        <f>AVERAGE(D21:O21)</f>
        <v>8.8815669362897684E-2</v>
      </c>
      <c r="Q21" s="300">
        <v>8.9942735739332202E-2</v>
      </c>
      <c r="R21" s="145">
        <v>8.2859691601886068E-2</v>
      </c>
      <c r="S21" s="146">
        <v>8.4992413055591728E-2</v>
      </c>
      <c r="T21" s="147">
        <v>9.342460533836118E-2</v>
      </c>
      <c r="U21" s="147">
        <v>0.11525839979747265</v>
      </c>
      <c r="V21" s="147">
        <v>9.4831464328106616E-2</v>
      </c>
      <c r="W21" s="148">
        <v>7.8547299053083455E-2</v>
      </c>
      <c r="X21" s="147">
        <v>8.7832260631204986E-2</v>
      </c>
      <c r="Y21" s="148">
        <v>9.3499380313987995E-2</v>
      </c>
      <c r="Z21" s="147">
        <v>9.9970635573617447E-2</v>
      </c>
      <c r="AA21" s="147">
        <v>9.9621923699476603E-2</v>
      </c>
      <c r="AB21" s="147">
        <v>9.4561432377930923E-2</v>
      </c>
      <c r="AC21" s="328">
        <f>AVERAGE(Q21:AB21)</f>
        <v>9.2945186792504311E-2</v>
      </c>
      <c r="AD21" s="300">
        <v>9.5667675021607612E-2</v>
      </c>
      <c r="AE21" s="145">
        <v>9.0539161656293568E-2</v>
      </c>
      <c r="AF21" s="146">
        <v>8.7602506355344889E-2</v>
      </c>
      <c r="AG21" s="147">
        <v>9.371986461647186E-2</v>
      </c>
      <c r="AH21" s="147">
        <v>0.10632212664994981</v>
      </c>
      <c r="AI21" s="147">
        <v>0.10807737224477545</v>
      </c>
      <c r="AJ21" s="148">
        <v>8.9502288211481082E-2</v>
      </c>
      <c r="AK21" s="147">
        <v>7.5579976949002092E-2</v>
      </c>
      <c r="AL21" s="148">
        <v>8.3429022459479946E-2</v>
      </c>
      <c r="AM21" s="147">
        <v>9.9510717395358328E-2</v>
      </c>
      <c r="AN21" s="147">
        <v>0.10715442930860423</v>
      </c>
      <c r="AO21" s="147">
        <v>9.9178997996693094E-2</v>
      </c>
      <c r="AP21" s="328">
        <f>AVERAGE(AD21:AO21)</f>
        <v>9.469034490542183E-2</v>
      </c>
      <c r="AQ21" s="300">
        <v>9.1131659929669317E-2</v>
      </c>
      <c r="AR21" s="145">
        <v>8.8180021330286115E-2</v>
      </c>
      <c r="AS21" s="146">
        <v>8.9083437911424396E-2</v>
      </c>
      <c r="AT21" s="147">
        <v>0.10989436047456526</v>
      </c>
      <c r="AU21" s="147">
        <v>0.11228664007552112</v>
      </c>
      <c r="AV21" s="147">
        <v>7.2910636299201484E-2</v>
      </c>
      <c r="AW21" s="148">
        <v>7.3622247966830687E-2</v>
      </c>
      <c r="AX21" s="147">
        <v>7.552815487561905E-2</v>
      </c>
      <c r="AY21" s="148">
        <v>9.1285774452979279E-2</v>
      </c>
      <c r="AZ21" s="147">
        <v>0.10417189574222986</v>
      </c>
      <c r="BA21" s="147">
        <v>0.101896891328958</v>
      </c>
      <c r="BB21" s="147">
        <v>9.5140592610657229E-2</v>
      </c>
      <c r="BC21" s="328">
        <f>AVERAGE(AQ21:BB21)</f>
        <v>9.2094359416495145E-2</v>
      </c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</row>
    <row r="22" spans="2:66" s="173" customFormat="1" ht="21" customHeight="1" x14ac:dyDescent="0.2">
      <c r="B22" s="432"/>
      <c r="C22" s="432"/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432"/>
      <c r="AC22" s="432"/>
      <c r="AD22" s="432"/>
      <c r="AE22" s="432"/>
      <c r="AF22" s="432"/>
      <c r="AG22" s="432"/>
      <c r="AH22" s="432"/>
      <c r="AI22" s="432"/>
      <c r="AJ22" s="432"/>
      <c r="AK22" s="432"/>
      <c r="AL22" s="432"/>
      <c r="AM22" s="432"/>
      <c r="AN22" s="432"/>
      <c r="AO22" s="432"/>
      <c r="AP22" s="432"/>
      <c r="AQ22" s="432"/>
      <c r="AR22" s="432"/>
      <c r="AS22" s="432"/>
      <c r="AT22" s="432"/>
      <c r="AU22" s="432"/>
      <c r="AV22" s="432"/>
      <c r="AW22" s="432"/>
      <c r="AX22" s="432"/>
      <c r="AY22" s="432"/>
      <c r="AZ22" s="432"/>
      <c r="BA22" s="432"/>
      <c r="BB22" s="432"/>
      <c r="BC22" s="432"/>
      <c r="BD22" s="174"/>
    </row>
    <row r="23" spans="2:66" s="173" customFormat="1" ht="15.75" x14ac:dyDescent="0.2">
      <c r="B23" s="431" t="s">
        <v>21</v>
      </c>
      <c r="C23" s="431" t="s">
        <v>2</v>
      </c>
      <c r="D23" s="431" t="s">
        <v>18</v>
      </c>
      <c r="E23" s="431"/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 t="s">
        <v>18</v>
      </c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1"/>
      <c r="AD23" s="431" t="s">
        <v>18</v>
      </c>
      <c r="AE23" s="431"/>
      <c r="AF23" s="431"/>
      <c r="AG23" s="431"/>
      <c r="AH23" s="431"/>
      <c r="AI23" s="431"/>
      <c r="AJ23" s="431"/>
      <c r="AK23" s="431"/>
      <c r="AL23" s="431"/>
      <c r="AM23" s="431"/>
      <c r="AN23" s="431"/>
      <c r="AO23" s="431"/>
      <c r="AP23" s="431"/>
      <c r="AQ23" s="431" t="s">
        <v>18</v>
      </c>
      <c r="AR23" s="431"/>
      <c r="AS23" s="431"/>
      <c r="AT23" s="431"/>
      <c r="AU23" s="431"/>
      <c r="AV23" s="431"/>
      <c r="AW23" s="431"/>
      <c r="AX23" s="431"/>
      <c r="AY23" s="431"/>
      <c r="AZ23" s="431"/>
      <c r="BA23" s="431"/>
      <c r="BB23" s="431"/>
      <c r="BC23" s="431"/>
      <c r="BD23" s="174"/>
    </row>
    <row r="24" spans="2:66" s="173" customFormat="1" ht="15.75" x14ac:dyDescent="0.2">
      <c r="B24" s="431"/>
      <c r="C24" s="431"/>
      <c r="D24" s="61" t="s">
        <v>3</v>
      </c>
      <c r="E24" s="61" t="s">
        <v>4</v>
      </c>
      <c r="F24" s="61" t="s">
        <v>5</v>
      </c>
      <c r="G24" s="61" t="s">
        <v>6</v>
      </c>
      <c r="H24" s="61" t="s">
        <v>7</v>
      </c>
      <c r="I24" s="61" t="s">
        <v>8</v>
      </c>
      <c r="J24" s="61" t="s">
        <v>9</v>
      </c>
      <c r="K24" s="61" t="s">
        <v>10</v>
      </c>
      <c r="L24" s="194" t="s">
        <v>11</v>
      </c>
      <c r="M24" s="195" t="s">
        <v>12</v>
      </c>
      <c r="N24" s="61" t="s">
        <v>13</v>
      </c>
      <c r="O24" s="61" t="s">
        <v>14</v>
      </c>
      <c r="P24" s="322" t="s">
        <v>33</v>
      </c>
      <c r="Q24" s="290" t="s">
        <v>3</v>
      </c>
      <c r="R24" s="61" t="s">
        <v>4</v>
      </c>
      <c r="S24" s="61" t="s">
        <v>5</v>
      </c>
      <c r="T24" s="61" t="s">
        <v>6</v>
      </c>
      <c r="U24" s="61" t="s">
        <v>7</v>
      </c>
      <c r="V24" s="61" t="s">
        <v>8</v>
      </c>
      <c r="W24" s="61" t="s">
        <v>9</v>
      </c>
      <c r="X24" s="61" t="s">
        <v>10</v>
      </c>
      <c r="Y24" s="194" t="s">
        <v>11</v>
      </c>
      <c r="Z24" s="195" t="s">
        <v>12</v>
      </c>
      <c r="AA24" s="61" t="s">
        <v>13</v>
      </c>
      <c r="AB24" s="61" t="s">
        <v>14</v>
      </c>
      <c r="AC24" s="322" t="s">
        <v>33</v>
      </c>
      <c r="AD24" s="290" t="s">
        <v>3</v>
      </c>
      <c r="AE24" s="61" t="s">
        <v>4</v>
      </c>
      <c r="AF24" s="61" t="s">
        <v>5</v>
      </c>
      <c r="AG24" s="61" t="s">
        <v>6</v>
      </c>
      <c r="AH24" s="61" t="s">
        <v>7</v>
      </c>
      <c r="AI24" s="61" t="s">
        <v>8</v>
      </c>
      <c r="AJ24" s="61" t="s">
        <v>9</v>
      </c>
      <c r="AK24" s="61" t="s">
        <v>10</v>
      </c>
      <c r="AL24" s="194" t="s">
        <v>11</v>
      </c>
      <c r="AM24" s="195" t="s">
        <v>12</v>
      </c>
      <c r="AN24" s="61" t="s">
        <v>13</v>
      </c>
      <c r="AO24" s="61" t="s">
        <v>14</v>
      </c>
      <c r="AP24" s="322" t="s">
        <v>33</v>
      </c>
      <c r="AQ24" s="290" t="s">
        <v>3</v>
      </c>
      <c r="AR24" s="61" t="s">
        <v>4</v>
      </c>
      <c r="AS24" s="61" t="s">
        <v>5</v>
      </c>
      <c r="AT24" s="61" t="s">
        <v>6</v>
      </c>
      <c r="AU24" s="61" t="s">
        <v>7</v>
      </c>
      <c r="AV24" s="61" t="s">
        <v>8</v>
      </c>
      <c r="AW24" s="61" t="s">
        <v>9</v>
      </c>
      <c r="AX24" s="61" t="s">
        <v>10</v>
      </c>
      <c r="AY24" s="194" t="s">
        <v>11</v>
      </c>
      <c r="AZ24" s="195" t="s">
        <v>12</v>
      </c>
      <c r="BA24" s="61" t="s">
        <v>13</v>
      </c>
      <c r="BB24" s="61" t="s">
        <v>14</v>
      </c>
      <c r="BC24" s="322" t="s">
        <v>33</v>
      </c>
      <c r="BD24" s="174"/>
    </row>
    <row r="25" spans="2:66" s="173" customFormat="1" x14ac:dyDescent="0.2">
      <c r="B25" s="191" t="s">
        <v>62</v>
      </c>
      <c r="C25" s="205" t="s">
        <v>15</v>
      </c>
      <c r="D25" s="189">
        <v>1454.22225</v>
      </c>
      <c r="E25" s="189">
        <v>1509.3966250000001</v>
      </c>
      <c r="F25" s="189">
        <v>1210.044625</v>
      </c>
      <c r="G25" s="192">
        <v>775.58600000000001</v>
      </c>
      <c r="H25" s="192">
        <v>448.68396875000002</v>
      </c>
      <c r="I25" s="189">
        <v>278.93</v>
      </c>
      <c r="J25" s="189">
        <v>254.78093749999999</v>
      </c>
      <c r="K25" s="189">
        <v>275.68078125</v>
      </c>
      <c r="L25" s="189">
        <v>507.06012500000003</v>
      </c>
      <c r="M25" s="189">
        <v>816.17881250000005</v>
      </c>
      <c r="N25" s="189">
        <v>993.37350000000004</v>
      </c>
      <c r="O25" s="189">
        <v>1426.6575</v>
      </c>
      <c r="P25" s="323">
        <f>SUM(D25:O25)</f>
        <v>9950.5951249999998</v>
      </c>
      <c r="Q25" s="291">
        <v>1365.33025</v>
      </c>
      <c r="R25" s="189">
        <v>1088.9728749999999</v>
      </c>
      <c r="S25" s="189">
        <v>1142.3340000000001</v>
      </c>
      <c r="T25" s="192">
        <v>814.81899999999996</v>
      </c>
      <c r="U25" s="192">
        <v>495.39800000000002</v>
      </c>
      <c r="V25" s="189">
        <v>271.238</v>
      </c>
      <c r="W25" s="189">
        <v>267.97393749999998</v>
      </c>
      <c r="X25" s="189">
        <v>269.10903124999999</v>
      </c>
      <c r="Y25" s="189">
        <v>428.71406250000001</v>
      </c>
      <c r="Z25" s="189">
        <v>738.39881249999996</v>
      </c>
      <c r="AA25" s="189">
        <v>1101.91425</v>
      </c>
      <c r="AB25" s="189">
        <v>1366.6488750000001</v>
      </c>
      <c r="AC25" s="323">
        <f>SUM(Q25:AB25)</f>
        <v>9350.8510937500014</v>
      </c>
      <c r="AD25" s="291">
        <v>1311.0473750000001</v>
      </c>
      <c r="AE25" s="189">
        <v>1166.7448750000001</v>
      </c>
      <c r="AF25" s="189">
        <v>1053.6890000000001</v>
      </c>
      <c r="AG25" s="192">
        <v>641.75237500000003</v>
      </c>
      <c r="AH25" s="192">
        <v>336.94403125000002</v>
      </c>
      <c r="AI25" s="189">
        <v>256.42507812500003</v>
      </c>
      <c r="AJ25" s="189">
        <v>288.27803125000003</v>
      </c>
      <c r="AK25" s="189">
        <v>289.70600000000002</v>
      </c>
      <c r="AL25" s="189">
        <v>323.49299999999999</v>
      </c>
      <c r="AM25" s="189">
        <v>783.01975000000004</v>
      </c>
      <c r="AN25" s="189">
        <v>1050.9490000000001</v>
      </c>
      <c r="AO25" s="189">
        <v>1319.2560000000001</v>
      </c>
      <c r="AP25" s="323">
        <f>SUM(AD25:AO25)</f>
        <v>8821.3045156250009</v>
      </c>
      <c r="AQ25" s="291">
        <v>1529.62075</v>
      </c>
      <c r="AR25" s="189">
        <v>1248.1197500000001</v>
      </c>
      <c r="AS25" s="189">
        <v>1085.95</v>
      </c>
      <c r="AT25" s="193">
        <v>670.38400000000001</v>
      </c>
      <c r="AU25" s="193">
        <v>464.64453749999996</v>
      </c>
      <c r="AV25" s="189">
        <v>259.79624999999999</v>
      </c>
      <c r="AW25" s="189">
        <v>267.66399999999999</v>
      </c>
      <c r="AX25" s="189">
        <v>269.84693750000002</v>
      </c>
      <c r="AY25" s="189">
        <v>311.39</v>
      </c>
      <c r="AZ25" s="189">
        <v>671.43787499999996</v>
      </c>
      <c r="BA25" s="189">
        <v>1008.569</v>
      </c>
      <c r="BB25" s="189">
        <v>1243.9211250000001</v>
      </c>
      <c r="BC25" s="323">
        <f>SUM(AQ25:BB25)</f>
        <v>9031.3442250000007</v>
      </c>
      <c r="BD25" s="174"/>
      <c r="BI25" s="218"/>
    </row>
    <row r="26" spans="2:66" s="173" customFormat="1" x14ac:dyDescent="0.2">
      <c r="B26" s="117" t="s">
        <v>63</v>
      </c>
      <c r="C26" s="175" t="s">
        <v>15</v>
      </c>
      <c r="D26" s="152">
        <v>426.55</v>
      </c>
      <c r="E26" s="152">
        <v>503.47</v>
      </c>
      <c r="F26" s="152">
        <v>281.12</v>
      </c>
      <c r="G26" s="176">
        <v>199.58</v>
      </c>
      <c r="H26" s="176">
        <v>63.250000000000007</v>
      </c>
      <c r="I26" s="152">
        <v>15.68</v>
      </c>
      <c r="J26" s="152">
        <v>0</v>
      </c>
      <c r="K26" s="152">
        <v>34.489999999999995</v>
      </c>
      <c r="L26" s="152">
        <v>70.910000000000011</v>
      </c>
      <c r="M26" s="152">
        <v>82.31</v>
      </c>
      <c r="N26" s="152">
        <v>177.69</v>
      </c>
      <c r="O26" s="152">
        <v>358.17</v>
      </c>
      <c r="P26" s="324">
        <f t="shared" ref="P26:P29" si="41">SUM(D26:O26)</f>
        <v>2213.2199999999998</v>
      </c>
      <c r="Q26" s="292">
        <v>304.92</v>
      </c>
      <c r="R26" s="152">
        <v>203.82</v>
      </c>
      <c r="S26" s="152">
        <v>218.85</v>
      </c>
      <c r="T26" s="176">
        <v>132.46999999999997</v>
      </c>
      <c r="U26" s="176">
        <v>84.74</v>
      </c>
      <c r="V26" s="152">
        <v>11.02</v>
      </c>
      <c r="W26" s="152">
        <v>0</v>
      </c>
      <c r="X26" s="152">
        <v>18.36</v>
      </c>
      <c r="Y26" s="152">
        <v>27.88</v>
      </c>
      <c r="Z26" s="152">
        <v>105.18</v>
      </c>
      <c r="AA26" s="152">
        <v>303.23</v>
      </c>
      <c r="AB26" s="152">
        <v>274.22000000000003</v>
      </c>
      <c r="AC26" s="324">
        <f t="shared" ref="AC26:AC29" si="42">SUM(Q26:AB26)</f>
        <v>1684.69</v>
      </c>
      <c r="AD26" s="292">
        <v>280.38000000000005</v>
      </c>
      <c r="AE26" s="152">
        <v>165.99999218750003</v>
      </c>
      <c r="AF26" s="152">
        <v>91.65</v>
      </c>
      <c r="AG26" s="176">
        <v>32.49</v>
      </c>
      <c r="AH26" s="176">
        <v>4.1500000000000004</v>
      </c>
      <c r="AI26" s="152">
        <v>5.29</v>
      </c>
      <c r="AJ26" s="152">
        <v>1.7100000000000002</v>
      </c>
      <c r="AK26" s="152">
        <v>5.64</v>
      </c>
      <c r="AL26" s="152">
        <v>8.5399999999999991</v>
      </c>
      <c r="AM26" s="152">
        <v>161.80000000000001</v>
      </c>
      <c r="AN26" s="152">
        <v>302.03000000000003</v>
      </c>
      <c r="AO26" s="152">
        <v>280.69000000000005</v>
      </c>
      <c r="AP26" s="324">
        <f t="shared" ref="AP26:AP29" si="43">SUM(AD26:AO26)</f>
        <v>1340.3699921875</v>
      </c>
      <c r="AQ26" s="292">
        <v>556.8496312499999</v>
      </c>
      <c r="AR26" s="152">
        <v>261.12</v>
      </c>
      <c r="AS26" s="152">
        <v>113.60000390625001</v>
      </c>
      <c r="AT26" s="177">
        <v>41.05</v>
      </c>
      <c r="AU26" s="177">
        <v>56.899999999999991</v>
      </c>
      <c r="AV26" s="152">
        <v>23.84</v>
      </c>
      <c r="AW26" s="152">
        <v>0</v>
      </c>
      <c r="AX26" s="152">
        <v>3.5</v>
      </c>
      <c r="AY26" s="152">
        <v>0</v>
      </c>
      <c r="AZ26" s="152">
        <v>74.81</v>
      </c>
      <c r="BA26" s="152">
        <v>144.83000000000001</v>
      </c>
      <c r="BB26" s="152">
        <v>234.55</v>
      </c>
      <c r="BC26" s="324">
        <f t="shared" ref="BC26:BC29" si="44">SUM(AQ26:BB26)</f>
        <v>1511.0496351562497</v>
      </c>
      <c r="BD26" s="174"/>
      <c r="BI26" s="218"/>
    </row>
    <row r="27" spans="2:66" s="173" customFormat="1" x14ac:dyDescent="0.2">
      <c r="B27" s="117" t="s">
        <v>64</v>
      </c>
      <c r="C27" s="175" t="s">
        <v>15</v>
      </c>
      <c r="D27" s="152">
        <v>108.3263203125</v>
      </c>
      <c r="E27" s="152">
        <v>119.884671875</v>
      </c>
      <c r="F27" s="152">
        <v>65.874117187500005</v>
      </c>
      <c r="G27" s="176">
        <v>32.039921874999997</v>
      </c>
      <c r="H27" s="176">
        <v>7.826904296875</v>
      </c>
      <c r="I27" s="152">
        <v>5.4712338867187498</v>
      </c>
      <c r="J27" s="152">
        <v>1.8595203857421876</v>
      </c>
      <c r="K27" s="152">
        <v>2.2786230468749999</v>
      </c>
      <c r="L27" s="152">
        <v>2.1698698730468751</v>
      </c>
      <c r="M27" s="152">
        <v>5.2101235351562503</v>
      </c>
      <c r="N27" s="152">
        <v>9.0481660156250001</v>
      </c>
      <c r="O27" s="152">
        <v>79.331304687499994</v>
      </c>
      <c r="P27" s="324">
        <f t="shared" si="41"/>
        <v>439.32077697753908</v>
      </c>
      <c r="Q27" s="292">
        <v>75.294468749999993</v>
      </c>
      <c r="R27" s="152">
        <v>45.720265625000003</v>
      </c>
      <c r="S27" s="152">
        <v>19.538597656250001</v>
      </c>
      <c r="T27" s="176">
        <v>11.96448828125</v>
      </c>
      <c r="U27" s="176">
        <v>3.7456501464843752</v>
      </c>
      <c r="V27" s="152">
        <v>2.2075781249999999</v>
      </c>
      <c r="W27" s="152">
        <v>1.7517380371093749</v>
      </c>
      <c r="X27" s="152">
        <v>1.6739161376953124</v>
      </c>
      <c r="Y27" s="152">
        <v>3.3836828613281251</v>
      </c>
      <c r="Z27" s="152">
        <v>12.177196289062501</v>
      </c>
      <c r="AA27" s="152">
        <v>35.518683593749998</v>
      </c>
      <c r="AB27" s="152">
        <v>13.378429687500001</v>
      </c>
      <c r="AC27" s="324">
        <f t="shared" si="42"/>
        <v>226.3546951904296</v>
      </c>
      <c r="AD27" s="292">
        <v>32.498207031249997</v>
      </c>
      <c r="AE27" s="152">
        <v>30.574523437500002</v>
      </c>
      <c r="AF27" s="152">
        <v>15.963042968750001</v>
      </c>
      <c r="AG27" s="176">
        <v>6.9469145507812504</v>
      </c>
      <c r="AH27" s="176">
        <v>1.4934290771484375</v>
      </c>
      <c r="AI27" s="152">
        <v>1.1617857666015625</v>
      </c>
      <c r="AJ27" s="152">
        <v>1.7158653564453126</v>
      </c>
      <c r="AK27" s="152">
        <v>1.9938079833984375</v>
      </c>
      <c r="AL27" s="152">
        <v>1.8737310791015624</v>
      </c>
      <c r="AM27" s="152">
        <v>18.867076171874999</v>
      </c>
      <c r="AN27" s="152">
        <v>18.701000000000001</v>
      </c>
      <c r="AO27" s="152">
        <v>13.6888359375</v>
      </c>
      <c r="AP27" s="324">
        <f t="shared" si="43"/>
        <v>145.47821936035155</v>
      </c>
      <c r="AQ27" s="292">
        <v>37.493457031250003</v>
      </c>
      <c r="AR27" s="152">
        <v>41.311</v>
      </c>
      <c r="AS27" s="152">
        <v>30.63800048828125</v>
      </c>
      <c r="AT27" s="177">
        <v>5.8686499023437504</v>
      </c>
      <c r="AU27" s="177">
        <v>3.1273664550781248</v>
      </c>
      <c r="AV27" s="152">
        <v>2.0579851074218749</v>
      </c>
      <c r="AW27" s="152">
        <v>2.31898291015625</v>
      </c>
      <c r="AX27" s="152">
        <v>2.1299289550781251</v>
      </c>
      <c r="AY27" s="152">
        <v>1.8584948730468751</v>
      </c>
      <c r="AZ27" s="152">
        <v>6.0088974609374999</v>
      </c>
      <c r="BA27" s="152">
        <v>22.584</v>
      </c>
      <c r="BB27" s="152">
        <v>19.831345703124999</v>
      </c>
      <c r="BC27" s="324">
        <f t="shared" si="44"/>
        <v>175.22810888671876</v>
      </c>
      <c r="BD27" s="174"/>
      <c r="BI27" s="218"/>
    </row>
    <row r="28" spans="2:66" s="173" customFormat="1" ht="18" customHeight="1" x14ac:dyDescent="0.2">
      <c r="B28" s="186" t="s">
        <v>65</v>
      </c>
      <c r="C28" s="175" t="s">
        <v>66</v>
      </c>
      <c r="D28" s="155">
        <v>622558.53749999998</v>
      </c>
      <c r="E28" s="178">
        <v>587812.50749999995</v>
      </c>
      <c r="F28" s="155">
        <v>578398.125</v>
      </c>
      <c r="G28" s="179">
        <v>371116.65625</v>
      </c>
      <c r="H28" s="179">
        <v>365427.125</v>
      </c>
      <c r="I28" s="155">
        <v>378297</v>
      </c>
      <c r="J28" s="155">
        <v>474882.4375</v>
      </c>
      <c r="K28" s="155">
        <v>326156.59375</v>
      </c>
      <c r="L28" s="155">
        <v>457665.4375</v>
      </c>
      <c r="M28" s="155">
        <v>554131.125</v>
      </c>
      <c r="N28" s="155">
        <v>541724.625</v>
      </c>
      <c r="O28" s="155">
        <v>651855.875</v>
      </c>
      <c r="P28" s="324">
        <f t="shared" si="41"/>
        <v>5910026.0449999999</v>
      </c>
      <c r="Q28" s="293">
        <v>649644.25</v>
      </c>
      <c r="R28" s="178">
        <v>556508</v>
      </c>
      <c r="S28" s="155">
        <v>609090.125</v>
      </c>
      <c r="T28" s="179">
        <v>484604.25</v>
      </c>
      <c r="U28" s="179">
        <v>406391.875</v>
      </c>
      <c r="V28" s="155">
        <v>452869.75</v>
      </c>
      <c r="W28" s="155">
        <v>381863.96875</v>
      </c>
      <c r="X28" s="155">
        <v>400080.3125</v>
      </c>
      <c r="Y28" s="155">
        <v>456003.34375</v>
      </c>
      <c r="Z28" s="155">
        <v>549856.6875</v>
      </c>
      <c r="AA28" s="155">
        <v>607649.51249999995</v>
      </c>
      <c r="AB28" s="155">
        <v>741357.875</v>
      </c>
      <c r="AC28" s="324">
        <f t="shared" si="42"/>
        <v>6295919.9500000002</v>
      </c>
      <c r="AD28" s="293">
        <v>672782</v>
      </c>
      <c r="AE28" s="178">
        <v>654040.9375</v>
      </c>
      <c r="AF28" s="155">
        <v>662059.375</v>
      </c>
      <c r="AG28" s="179">
        <v>461630.71875</v>
      </c>
      <c r="AH28" s="179">
        <v>324439</v>
      </c>
      <c r="AI28" s="155">
        <v>306553</v>
      </c>
      <c r="AJ28" s="155">
        <v>407574.50750000001</v>
      </c>
      <c r="AK28" s="155">
        <v>348146.5625</v>
      </c>
      <c r="AL28" s="155">
        <v>315969.5</v>
      </c>
      <c r="AM28" s="155">
        <v>447274.78125</v>
      </c>
      <c r="AN28" s="155">
        <v>501366.71875</v>
      </c>
      <c r="AO28" s="155">
        <v>669746.625</v>
      </c>
      <c r="AP28" s="324">
        <f t="shared" si="43"/>
        <v>5771583.7262500003</v>
      </c>
      <c r="AQ28" s="293">
        <v>609420.5</v>
      </c>
      <c r="AR28" s="178">
        <v>621057.625</v>
      </c>
      <c r="AS28" s="155">
        <v>631434.625</v>
      </c>
      <c r="AT28" s="180">
        <v>427705.625</v>
      </c>
      <c r="AU28" s="180">
        <v>433789.34375</v>
      </c>
      <c r="AV28" s="155">
        <v>331400.96875</v>
      </c>
      <c r="AW28" s="155">
        <v>450914.78125</v>
      </c>
      <c r="AX28" s="155">
        <v>482612.5625</v>
      </c>
      <c r="AY28" s="155">
        <v>457072.625</v>
      </c>
      <c r="AZ28" s="155">
        <v>538762.44999999995</v>
      </c>
      <c r="BA28" s="155">
        <v>585679</v>
      </c>
      <c r="BB28" s="155">
        <v>673206.1875</v>
      </c>
      <c r="BC28" s="324">
        <f t="shared" si="44"/>
        <v>6243056.2937500002</v>
      </c>
      <c r="BD28" s="174"/>
      <c r="BI28" s="218"/>
    </row>
    <row r="29" spans="2:66" s="173" customFormat="1" x14ac:dyDescent="0.2">
      <c r="B29" s="186" t="s">
        <v>67</v>
      </c>
      <c r="C29" s="175" t="s">
        <v>66</v>
      </c>
      <c r="D29" s="157">
        <v>494254</v>
      </c>
      <c r="E29" s="155">
        <v>463343</v>
      </c>
      <c r="F29" s="155">
        <v>453462</v>
      </c>
      <c r="G29" s="179">
        <v>276555</v>
      </c>
      <c r="H29" s="179">
        <v>201382</v>
      </c>
      <c r="I29" s="155">
        <v>137637</v>
      </c>
      <c r="J29" s="155">
        <v>144723</v>
      </c>
      <c r="K29" s="155">
        <v>125333</v>
      </c>
      <c r="L29" s="155">
        <v>242918</v>
      </c>
      <c r="M29" s="155">
        <v>390070</v>
      </c>
      <c r="N29" s="155">
        <v>423445</v>
      </c>
      <c r="O29" s="155">
        <v>517986</v>
      </c>
      <c r="P29" s="324">
        <f t="shared" si="41"/>
        <v>3871108</v>
      </c>
      <c r="Q29" s="294">
        <v>526637</v>
      </c>
      <c r="R29" s="155">
        <v>449829</v>
      </c>
      <c r="S29" s="155">
        <v>499502</v>
      </c>
      <c r="T29" s="179">
        <v>377492</v>
      </c>
      <c r="U29" s="179">
        <v>228174</v>
      </c>
      <c r="V29" s="155">
        <v>146039</v>
      </c>
      <c r="W29" s="155">
        <v>146155</v>
      </c>
      <c r="X29" s="155">
        <v>137191</v>
      </c>
      <c r="Y29" s="155">
        <v>231533</v>
      </c>
      <c r="Z29" s="155">
        <v>345812</v>
      </c>
      <c r="AA29" s="155">
        <v>428401</v>
      </c>
      <c r="AB29" s="155">
        <v>584659</v>
      </c>
      <c r="AC29" s="324">
        <f t="shared" si="42"/>
        <v>4101424</v>
      </c>
      <c r="AD29" s="294">
        <v>557704</v>
      </c>
      <c r="AE29" s="155">
        <v>547178</v>
      </c>
      <c r="AF29" s="155">
        <v>526794</v>
      </c>
      <c r="AG29" s="179">
        <v>332440</v>
      </c>
      <c r="AH29" s="179">
        <v>182900</v>
      </c>
      <c r="AI29" s="155">
        <v>147605</v>
      </c>
      <c r="AJ29" s="155">
        <v>158137</v>
      </c>
      <c r="AK29" s="155">
        <v>151597</v>
      </c>
      <c r="AL29" s="155">
        <v>172145</v>
      </c>
      <c r="AM29" s="155">
        <v>324185</v>
      </c>
      <c r="AN29" s="155">
        <v>383426</v>
      </c>
      <c r="AO29" s="155">
        <v>545036</v>
      </c>
      <c r="AP29" s="324">
        <f t="shared" si="43"/>
        <v>4029147</v>
      </c>
      <c r="AQ29" s="294">
        <v>497782</v>
      </c>
      <c r="AR29" s="155">
        <v>525793</v>
      </c>
      <c r="AS29" s="155">
        <v>528099</v>
      </c>
      <c r="AT29" s="180">
        <v>356740</v>
      </c>
      <c r="AU29" s="180">
        <v>227434</v>
      </c>
      <c r="AV29" s="155">
        <v>126241</v>
      </c>
      <c r="AW29" s="155">
        <v>150292</v>
      </c>
      <c r="AX29" s="155">
        <v>161582</v>
      </c>
      <c r="AY29" s="155">
        <v>182536</v>
      </c>
      <c r="AZ29" s="155">
        <v>352191</v>
      </c>
      <c r="BA29" s="155">
        <v>463875</v>
      </c>
      <c r="BB29" s="155">
        <v>544776</v>
      </c>
      <c r="BC29" s="324">
        <f t="shared" si="44"/>
        <v>4117341</v>
      </c>
      <c r="BD29" s="174"/>
    </row>
    <row r="30" spans="2:66" s="173" customFormat="1" x14ac:dyDescent="0.2">
      <c r="B30" s="117" t="s">
        <v>68</v>
      </c>
      <c r="C30" s="175" t="s">
        <v>43</v>
      </c>
      <c r="D30" s="152">
        <f>(D39-D31*D26-D34*(D28-D29)/1000*(1-D40)-D33*D29/1000*(1-D40))/(D25-D26)</f>
        <v>169.00242713455893</v>
      </c>
      <c r="E30" s="152">
        <f t="shared" ref="E30:O30" si="45">(E39-E31*E26-E34*(E28-E29)/1000*(1-E40)-E33*E29/1000*(1-E40))/(E25-E26)</f>
        <v>168.03025440785697</v>
      </c>
      <c r="F30" s="152">
        <f t="shared" si="45"/>
        <v>167.93178732209461</v>
      </c>
      <c r="G30" s="152">
        <f t="shared" si="45"/>
        <v>169.49662007243768</v>
      </c>
      <c r="H30" s="152">
        <f t="shared" si="45"/>
        <v>174.26066954524282</v>
      </c>
      <c r="I30" s="152">
        <f t="shared" si="45"/>
        <v>175.79107312440644</v>
      </c>
      <c r="J30" s="152">
        <f t="shared" si="45"/>
        <v>175.47610101059533</v>
      </c>
      <c r="K30" s="152">
        <f t="shared" si="45"/>
        <v>177.27062875764631</v>
      </c>
      <c r="L30" s="152">
        <f t="shared" si="45"/>
        <v>175.23539331134506</v>
      </c>
      <c r="M30" s="152">
        <f t="shared" si="45"/>
        <v>169.2890801500136</v>
      </c>
      <c r="N30" s="152">
        <f t="shared" si="45"/>
        <v>169.80493630907668</v>
      </c>
      <c r="O30" s="152">
        <f t="shared" si="45"/>
        <v>168.79373881304181</v>
      </c>
      <c r="P30" s="325">
        <f t="shared" ref="P30:P35" si="46">AVERAGE(D30:O30)</f>
        <v>171.69855916319304</v>
      </c>
      <c r="Q30" s="292">
        <f>(Q39-Q31*Q26-Q34*(Q28-Q29)/1000*(1-Q40)-Q33*Q29/1000*(1-Q40))/(Q25-Q26)</f>
        <v>169.56450472690281</v>
      </c>
      <c r="R30" s="152">
        <f t="shared" ref="R30:AB30" si="47">(R39-R31*R26-R34*(R28-R29)/1000*(1-R40)-R33*R29/1000*(1-R40))/(R25-R26)</f>
        <v>168.65109317980807</v>
      </c>
      <c r="S30" s="152">
        <f t="shared" si="47"/>
        <v>169.76901025942553</v>
      </c>
      <c r="T30" s="152">
        <f t="shared" si="47"/>
        <v>169.15821217764895</v>
      </c>
      <c r="U30" s="152">
        <f t="shared" si="47"/>
        <v>169.72521755352841</v>
      </c>
      <c r="V30" s="152">
        <f t="shared" si="47"/>
        <v>177.18228346402157</v>
      </c>
      <c r="W30" s="152">
        <f t="shared" si="47"/>
        <v>176.29327463258639</v>
      </c>
      <c r="X30" s="152">
        <f t="shared" si="47"/>
        <v>176.47913480237446</v>
      </c>
      <c r="Y30" s="152">
        <f t="shared" si="47"/>
        <v>175.75091539016378</v>
      </c>
      <c r="Z30" s="152">
        <f t="shared" si="47"/>
        <v>172.99873184192222</v>
      </c>
      <c r="AA30" s="152">
        <f t="shared" si="47"/>
        <v>172.45499805959813</v>
      </c>
      <c r="AB30" s="152">
        <f t="shared" si="47"/>
        <v>167.91209762442381</v>
      </c>
      <c r="AC30" s="325">
        <f t="shared" ref="AC30:AC35" si="48">AVERAGE(Q30:AB30)</f>
        <v>172.161622809367</v>
      </c>
      <c r="AD30" s="292">
        <f>(AD39-AD31*AD26-AD34*(AD28-AD29)/1000*(1-AD40)-AD33*AD29/1000*(1-AD40))/(AD25-AD26)</f>
        <v>168.8604919700694</v>
      </c>
      <c r="AE30" s="152">
        <f t="shared" ref="AE30:AO30" si="49">(AE39-AE31*AE26-AE34*(AE28-AE29)/1000*(1-AE40)-AE33*AE29/1000*(1-AE40))/(AE25-AE26)</f>
        <v>167.63215180633327</v>
      </c>
      <c r="AF30" s="152">
        <f t="shared" si="49"/>
        <v>168.71448027413268</v>
      </c>
      <c r="AG30" s="152">
        <f t="shared" si="49"/>
        <v>170.16323499820348</v>
      </c>
      <c r="AH30" s="152">
        <f t="shared" si="49"/>
        <v>172.80958971526024</v>
      </c>
      <c r="AI30" s="152">
        <f t="shared" si="49"/>
        <v>175.7261483719698</v>
      </c>
      <c r="AJ30" s="152">
        <f t="shared" si="49"/>
        <v>176.78541943093893</v>
      </c>
      <c r="AK30" s="152">
        <f t="shared" si="49"/>
        <v>174.60044793691702</v>
      </c>
      <c r="AL30" s="152">
        <f t="shared" si="49"/>
        <v>176.35668868671826</v>
      </c>
      <c r="AM30" s="152">
        <f t="shared" si="49"/>
        <v>171.45146448407439</v>
      </c>
      <c r="AN30" s="152">
        <f t="shared" si="49"/>
        <v>173.51150172901438</v>
      </c>
      <c r="AO30" s="152">
        <f t="shared" si="49"/>
        <v>171.87843700678792</v>
      </c>
      <c r="AP30" s="325">
        <f t="shared" ref="AP30:AP35" si="50">AVERAGE(AD30:AO30)</f>
        <v>172.37417136753501</v>
      </c>
      <c r="AQ30" s="292">
        <f>(AQ39-AQ31*AQ26-AQ34*(AQ28-AQ29)/1000*(1-AQ40)-AQ33*AQ29/1000*(1-AQ40))/(AQ25-AQ26)</f>
        <v>169.63820650279379</v>
      </c>
      <c r="AR30" s="152">
        <f t="shared" ref="AR30:BB30" si="51">(AR39-AR31*AR26-AR34*(AR28-AR29)/1000*(1-AR40)-AR33*AR29/1000*(1-AR40))/(AR25-AR26)</f>
        <v>166.85425996423217</v>
      </c>
      <c r="AS30" s="152">
        <f t="shared" si="51"/>
        <v>166.27459736987564</v>
      </c>
      <c r="AT30" s="152">
        <f t="shared" si="51"/>
        <v>167.04820453942108</v>
      </c>
      <c r="AU30" s="152">
        <f t="shared" si="51"/>
        <v>173.51047558698414</v>
      </c>
      <c r="AV30" s="152">
        <f t="shared" si="51"/>
        <v>179.23239333061164</v>
      </c>
      <c r="AW30" s="152">
        <f t="shared" si="51"/>
        <v>177.00183551063895</v>
      </c>
      <c r="AX30" s="152">
        <f t="shared" si="51"/>
        <v>175.45550621989656</v>
      </c>
      <c r="AY30" s="152">
        <f t="shared" si="51"/>
        <v>172.90226862851151</v>
      </c>
      <c r="AZ30" s="152">
        <f t="shared" si="51"/>
        <v>171.91942155958901</v>
      </c>
      <c r="BA30" s="152">
        <f t="shared" si="51"/>
        <v>167.32832487591739</v>
      </c>
      <c r="BB30" s="152">
        <f t="shared" si="51"/>
        <v>168.63664473200032</v>
      </c>
      <c r="BC30" s="325">
        <f t="shared" ref="BC30:BC35" si="52">AVERAGE(AQ30:BB30)</f>
        <v>171.31684490170599</v>
      </c>
      <c r="BD30" s="174"/>
    </row>
    <row r="31" spans="2:66" s="173" customFormat="1" x14ac:dyDescent="0.2">
      <c r="B31" s="117" t="s">
        <v>69</v>
      </c>
      <c r="C31" s="175" t="s">
        <v>43</v>
      </c>
      <c r="D31" s="152">
        <v>154.90563826046184</v>
      </c>
      <c r="E31" s="152">
        <v>156.41845591594335</v>
      </c>
      <c r="F31" s="152">
        <v>154.53187250996015</v>
      </c>
      <c r="G31" s="176">
        <v>152.00921936065737</v>
      </c>
      <c r="H31" s="152">
        <v>151.49407114624506</v>
      </c>
      <c r="I31" s="152">
        <v>150.70153061224491</v>
      </c>
      <c r="J31" s="152">
        <v>0</v>
      </c>
      <c r="K31" s="152">
        <v>150.39141780226151</v>
      </c>
      <c r="L31" s="152">
        <v>151.86856578761811</v>
      </c>
      <c r="M31" s="152">
        <v>152.81253796622525</v>
      </c>
      <c r="N31" s="152">
        <v>153.16562552760425</v>
      </c>
      <c r="O31" s="152">
        <v>156.04880364072926</v>
      </c>
      <c r="P31" s="335">
        <f>SUMPRODUCT(D31:O31,D26:O26)/P26</f>
        <v>154.61363985505284</v>
      </c>
      <c r="Q31" s="292">
        <v>156.92640692640691</v>
      </c>
      <c r="R31" s="152">
        <v>153.89068786183887</v>
      </c>
      <c r="S31" s="152">
        <v>154.26547863833676</v>
      </c>
      <c r="T31" s="176">
        <v>152.83460406129689</v>
      </c>
      <c r="U31" s="152">
        <v>151.36889308472976</v>
      </c>
      <c r="V31" s="152">
        <v>150.90744101633658</v>
      </c>
      <c r="W31" s="152">
        <v>0</v>
      </c>
      <c r="X31" s="152">
        <v>151.25272331154844</v>
      </c>
      <c r="Y31" s="152">
        <v>151.82926829268294</v>
      </c>
      <c r="Z31" s="152">
        <v>152.38638524434302</v>
      </c>
      <c r="AA31" s="152">
        <v>154.14371928898854</v>
      </c>
      <c r="AB31" s="152">
        <v>155.1819706804755</v>
      </c>
      <c r="AC31" s="340">
        <f>SUMPRODUCT(Q31:AB31,Q26:AB26)/AC26</f>
        <v>154.35836860193868</v>
      </c>
      <c r="AD31" s="292">
        <v>154.56523289820953</v>
      </c>
      <c r="AE31" s="152">
        <v>154.4578385945895</v>
      </c>
      <c r="AF31" s="152">
        <v>153.12602291325695</v>
      </c>
      <c r="AG31" s="176">
        <v>151.00030778701137</v>
      </c>
      <c r="AH31" s="152">
        <v>151.08433734939757</v>
      </c>
      <c r="AI31" s="152">
        <v>150.0945179584121</v>
      </c>
      <c r="AJ31" s="152">
        <v>149.70760233918128</v>
      </c>
      <c r="AK31" s="152">
        <v>152.83687943262413</v>
      </c>
      <c r="AL31" s="152">
        <v>150.7025761124122</v>
      </c>
      <c r="AM31" s="152">
        <v>151.97775030902346</v>
      </c>
      <c r="AN31" s="152">
        <v>153.45826573519184</v>
      </c>
      <c r="AO31" s="152">
        <v>154.63678791549393</v>
      </c>
      <c r="AP31" s="340">
        <f>SUMPRODUCT(AD31:AO31,AD26:AO26)/AP26</f>
        <v>153.75381514149203</v>
      </c>
      <c r="AQ31" s="292">
        <v>155.90384751646545</v>
      </c>
      <c r="AR31" s="152">
        <v>154.70281862745097</v>
      </c>
      <c r="AS31" s="152">
        <v>152.79929052049093</v>
      </c>
      <c r="AT31" s="222">
        <v>151.0353227771011</v>
      </c>
      <c r="AU31" s="152">
        <v>151.95079086115996</v>
      </c>
      <c r="AV31" s="152">
        <v>151.3003355704698</v>
      </c>
      <c r="AW31" s="152">
        <v>0</v>
      </c>
      <c r="AX31" s="152">
        <v>153.14285714285714</v>
      </c>
      <c r="AY31" s="152">
        <v>0</v>
      </c>
      <c r="AZ31" s="152">
        <v>153.5222563828365</v>
      </c>
      <c r="BA31" s="152">
        <v>154.31195194365807</v>
      </c>
      <c r="BB31" s="152">
        <v>154.11639309315711</v>
      </c>
      <c r="BC31" s="340">
        <f>SUMPRODUCT(AQ31:BB31,AQ26:BB26)/BC26</f>
        <v>154.55481710622357</v>
      </c>
      <c r="BD31" s="174"/>
    </row>
    <row r="32" spans="2:66" s="223" customFormat="1" ht="33" customHeight="1" x14ac:dyDescent="0.25">
      <c r="B32" s="181" t="s">
        <v>70</v>
      </c>
      <c r="C32" s="175" t="s">
        <v>43</v>
      </c>
      <c r="D32" s="159">
        <v>169.00242713455893</v>
      </c>
      <c r="E32" s="159">
        <v>168.03025440785697</v>
      </c>
      <c r="F32" s="159">
        <v>167.93178732209461</v>
      </c>
      <c r="G32" s="176">
        <v>169.49662007243768</v>
      </c>
      <c r="H32" s="159">
        <v>174.26066954524282</v>
      </c>
      <c r="I32" s="159">
        <v>175.79107312440644</v>
      </c>
      <c r="J32" s="159">
        <v>175.47610101059533</v>
      </c>
      <c r="K32" s="159">
        <v>177.27062875764631</v>
      </c>
      <c r="L32" s="159">
        <v>175.23539331134506</v>
      </c>
      <c r="M32" s="159">
        <v>169.2890801500136</v>
      </c>
      <c r="N32" s="159">
        <v>169.80493630907668</v>
      </c>
      <c r="O32" s="159">
        <v>168.79373881304181</v>
      </c>
      <c r="P32" s="325">
        <f t="shared" si="46"/>
        <v>171.69855916319304</v>
      </c>
      <c r="Q32" s="295">
        <v>169.56450472690281</v>
      </c>
      <c r="R32" s="159">
        <v>168.65109317980807</v>
      </c>
      <c r="S32" s="159">
        <v>169.76901025942553</v>
      </c>
      <c r="T32" s="176">
        <v>169.15821217764895</v>
      </c>
      <c r="U32" s="159">
        <v>169.72521755352841</v>
      </c>
      <c r="V32" s="159">
        <v>177.18228346402157</v>
      </c>
      <c r="W32" s="159">
        <v>176.29327463258639</v>
      </c>
      <c r="X32" s="159">
        <v>176.47913480237446</v>
      </c>
      <c r="Y32" s="159">
        <v>175.75091539016378</v>
      </c>
      <c r="Z32" s="159">
        <v>172.99873184192222</v>
      </c>
      <c r="AA32" s="159">
        <v>172.45499805959813</v>
      </c>
      <c r="AB32" s="159">
        <v>167.91209762442381</v>
      </c>
      <c r="AC32" s="325">
        <f t="shared" si="48"/>
        <v>172.161622809367</v>
      </c>
      <c r="AD32" s="295">
        <v>168.8604919700694</v>
      </c>
      <c r="AE32" s="159">
        <v>167.63215180633327</v>
      </c>
      <c r="AF32" s="159">
        <v>168.71448027413268</v>
      </c>
      <c r="AG32" s="176">
        <v>170.16323499820348</v>
      </c>
      <c r="AH32" s="159">
        <v>172.80958971526024</v>
      </c>
      <c r="AI32" s="159">
        <v>175.7261483719698</v>
      </c>
      <c r="AJ32" s="159">
        <v>176.78541943093893</v>
      </c>
      <c r="AK32" s="159">
        <v>174.60044793691702</v>
      </c>
      <c r="AL32" s="159">
        <v>176.35668868671826</v>
      </c>
      <c r="AM32" s="159">
        <v>171.45146448407439</v>
      </c>
      <c r="AN32" s="159">
        <v>173.51150172901438</v>
      </c>
      <c r="AO32" s="159">
        <v>171.87843700678792</v>
      </c>
      <c r="AP32" s="325">
        <f t="shared" si="50"/>
        <v>172.37417136753501</v>
      </c>
      <c r="AQ32" s="295">
        <v>169.63820650279379</v>
      </c>
      <c r="AR32" s="159">
        <v>166.85425996423217</v>
      </c>
      <c r="AS32" s="159">
        <v>166.27459736987564</v>
      </c>
      <c r="AT32" s="177">
        <v>167.04820453942108</v>
      </c>
      <c r="AU32" s="159">
        <v>173.51047558698414</v>
      </c>
      <c r="AV32" s="159">
        <v>179.23239333061164</v>
      </c>
      <c r="AW32" s="159">
        <v>177.00183551063895</v>
      </c>
      <c r="AX32" s="159">
        <v>175.45550621989656</v>
      </c>
      <c r="AY32" s="159">
        <v>172.90226862851151</v>
      </c>
      <c r="AZ32" s="159">
        <v>171.91942155958901</v>
      </c>
      <c r="BA32" s="159">
        <v>167.32832487591739</v>
      </c>
      <c r="BB32" s="159">
        <v>168.63664473200032</v>
      </c>
      <c r="BC32" s="325">
        <f t="shared" si="52"/>
        <v>171.31684490170599</v>
      </c>
      <c r="BD32" s="182"/>
    </row>
    <row r="33" spans="2:64" s="223" customFormat="1" x14ac:dyDescent="0.25">
      <c r="B33" s="181" t="s">
        <v>71</v>
      </c>
      <c r="C33" s="175" t="s">
        <v>72</v>
      </c>
      <c r="D33" s="159">
        <v>156.66572569873719</v>
      </c>
      <c r="E33" s="159">
        <v>156.3429222015624</v>
      </c>
      <c r="F33" s="159">
        <v>155.68737458650878</v>
      </c>
      <c r="G33" s="220">
        <v>155.20471843628366</v>
      </c>
      <c r="H33" s="159">
        <v>157.20869274365754</v>
      </c>
      <c r="I33" s="159">
        <v>157.75057613074947</v>
      </c>
      <c r="J33" s="159">
        <v>156.0890685069007</v>
      </c>
      <c r="K33" s="159">
        <v>158.41095691287526</v>
      </c>
      <c r="L33" s="159">
        <v>158.19585245292058</v>
      </c>
      <c r="M33" s="159">
        <v>155.58817797548184</v>
      </c>
      <c r="N33" s="159">
        <v>156.61934184429489</v>
      </c>
      <c r="O33" s="159">
        <v>156.40139845713617</v>
      </c>
      <c r="P33" s="325">
        <f t="shared" si="46"/>
        <v>156.68040049559235</v>
      </c>
      <c r="Q33" s="295">
        <v>158.08877084560152</v>
      </c>
      <c r="R33" s="159">
        <v>156.07140287632589</v>
      </c>
      <c r="S33" s="159">
        <v>157.37781699848219</v>
      </c>
      <c r="T33" s="220">
        <v>155.57804087298194</v>
      </c>
      <c r="U33" s="159">
        <v>152.90697463922092</v>
      </c>
      <c r="V33" s="159">
        <v>156.8143117596436</v>
      </c>
      <c r="W33" s="159">
        <v>157.92775990491566</v>
      </c>
      <c r="X33" s="159">
        <v>156.32394896601735</v>
      </c>
      <c r="Y33" s="159">
        <v>158.32710071251114</v>
      </c>
      <c r="Z33" s="159">
        <v>157.64386044561061</v>
      </c>
      <c r="AA33" s="159">
        <v>158.50476123875904</v>
      </c>
      <c r="AB33" s="159">
        <v>156.10831133574948</v>
      </c>
      <c r="AC33" s="325">
        <f t="shared" si="48"/>
        <v>156.80608838298497</v>
      </c>
      <c r="AD33" s="295">
        <v>156.33008196083756</v>
      </c>
      <c r="AE33" s="159">
        <v>155.63810000373846</v>
      </c>
      <c r="AF33" s="159">
        <v>155.85755909732001</v>
      </c>
      <c r="AG33" s="220">
        <v>156.12523959390765</v>
      </c>
      <c r="AH33" s="159">
        <v>156.34119717346195</v>
      </c>
      <c r="AI33" s="159">
        <v>158.13130723292102</v>
      </c>
      <c r="AJ33" s="159">
        <v>157.71074089197882</v>
      </c>
      <c r="AK33" s="159">
        <v>155.79064434345517</v>
      </c>
      <c r="AL33" s="159">
        <v>158.47286385430669</v>
      </c>
      <c r="AM33" s="159">
        <v>157.96593068915189</v>
      </c>
      <c r="AN33" s="159">
        <v>159.80697175023894</v>
      </c>
      <c r="AO33" s="159">
        <v>158.66455121419347</v>
      </c>
      <c r="AP33" s="325">
        <f t="shared" si="50"/>
        <v>157.23626565045933</v>
      </c>
      <c r="AQ33" s="295">
        <v>156.87926016542403</v>
      </c>
      <c r="AR33" s="159">
        <v>154.56170588663133</v>
      </c>
      <c r="AS33" s="159">
        <v>153.77742171233191</v>
      </c>
      <c r="AT33" s="220">
        <v>154.03250357194111</v>
      </c>
      <c r="AU33" s="159">
        <v>156.55610018396965</v>
      </c>
      <c r="AV33" s="159">
        <v>158.44263338871738</v>
      </c>
      <c r="AW33" s="159">
        <v>157.17497922294268</v>
      </c>
      <c r="AX33" s="159">
        <v>157.1793050037713</v>
      </c>
      <c r="AY33" s="159">
        <v>155.7711021908089</v>
      </c>
      <c r="AZ33" s="159">
        <v>157.00068967921524</v>
      </c>
      <c r="BA33" s="159">
        <v>155.1791014584671</v>
      </c>
      <c r="BB33" s="159">
        <v>156.25326925265981</v>
      </c>
      <c r="BC33" s="325">
        <f t="shared" si="52"/>
        <v>156.06733930974005</v>
      </c>
      <c r="BD33" s="182"/>
    </row>
    <row r="34" spans="2:64" s="223" customFormat="1" x14ac:dyDescent="0.25">
      <c r="B34" s="181" t="s">
        <v>73</v>
      </c>
      <c r="C34" s="175" t="s">
        <v>72</v>
      </c>
      <c r="D34" s="159">
        <v>472.49552487645224</v>
      </c>
      <c r="E34" s="159">
        <v>461.74416308766155</v>
      </c>
      <c r="F34" s="159">
        <v>468.10965445887194</v>
      </c>
      <c r="G34" s="220">
        <v>470.13801139810744</v>
      </c>
      <c r="H34" s="159">
        <v>458.0782534092989</v>
      </c>
      <c r="I34" s="159">
        <v>448.06536857433827</v>
      </c>
      <c r="J34" s="159">
        <v>437.36206191899981</v>
      </c>
      <c r="K34" s="159">
        <v>456.27928737887055</v>
      </c>
      <c r="L34" s="159">
        <v>450.67716915133519</v>
      </c>
      <c r="M34" s="159">
        <v>453.74661166839633</v>
      </c>
      <c r="N34" s="159">
        <v>479.65704400703476</v>
      </c>
      <c r="O34" s="159">
        <v>481.21059629127927</v>
      </c>
      <c r="P34" s="325">
        <f t="shared" si="46"/>
        <v>461.46364551838707</v>
      </c>
      <c r="Q34" s="295">
        <v>492.20153289395341</v>
      </c>
      <c r="R34" s="159">
        <v>469.29051782932248</v>
      </c>
      <c r="S34" s="159">
        <v>540.20014516255878</v>
      </c>
      <c r="T34" s="220">
        <v>520.43383933616315</v>
      </c>
      <c r="U34" s="159">
        <v>447.68327464443053</v>
      </c>
      <c r="V34" s="159">
        <v>426.0718533505223</v>
      </c>
      <c r="W34" s="159">
        <v>436.15729034497838</v>
      </c>
      <c r="X34" s="159">
        <v>444.77695995294943</v>
      </c>
      <c r="Y34" s="159">
        <v>454.14733790088854</v>
      </c>
      <c r="Z34" s="159">
        <v>450.79933669193838</v>
      </c>
      <c r="AA34" s="159">
        <v>453.90083617097696</v>
      </c>
      <c r="AB34" s="159">
        <v>426.56601325346321</v>
      </c>
      <c r="AC34" s="325">
        <f t="shared" si="48"/>
        <v>463.51907812767877</v>
      </c>
      <c r="AD34" s="295">
        <v>534.02768979980374</v>
      </c>
      <c r="AE34" s="159">
        <v>538.81130483048707</v>
      </c>
      <c r="AF34" s="159">
        <v>493.92765032719018</v>
      </c>
      <c r="AG34" s="220">
        <v>472.66194919429745</v>
      </c>
      <c r="AH34" s="159">
        <v>434.54798419943467</v>
      </c>
      <c r="AI34" s="159">
        <v>453.42543857799245</v>
      </c>
      <c r="AJ34" s="159">
        <v>448.27250398198669</v>
      </c>
      <c r="AK34" s="159">
        <v>459.23503506804485</v>
      </c>
      <c r="AL34" s="159">
        <v>448.22959807942152</v>
      </c>
      <c r="AM34" s="159">
        <v>420.26538611314942</v>
      </c>
      <c r="AN34" s="159">
        <v>483.83827365149961</v>
      </c>
      <c r="AO34" s="159">
        <v>530.56343249893132</v>
      </c>
      <c r="AP34" s="325">
        <f t="shared" si="50"/>
        <v>476.48385386018657</v>
      </c>
      <c r="AQ34" s="295">
        <v>567.6043688525715</v>
      </c>
      <c r="AR34" s="159">
        <v>554.68079289931097</v>
      </c>
      <c r="AS34" s="159">
        <v>526.09230133542201</v>
      </c>
      <c r="AT34" s="220">
        <v>574.67255868790778</v>
      </c>
      <c r="AU34" s="159">
        <v>477.27799986149006</v>
      </c>
      <c r="AV34" s="159">
        <v>477.40017409954174</v>
      </c>
      <c r="AW34" s="159">
        <v>451.97327126266703</v>
      </c>
      <c r="AX34" s="159">
        <v>434.89965709617451</v>
      </c>
      <c r="AY34" s="159">
        <v>433.42234324318667</v>
      </c>
      <c r="AZ34" s="159">
        <v>466.94091248177045</v>
      </c>
      <c r="BA34" s="159">
        <v>464.04595700264599</v>
      </c>
      <c r="BB34" s="159">
        <v>455.56103000135579</v>
      </c>
      <c r="BC34" s="325">
        <f t="shared" si="52"/>
        <v>490.38094723533703</v>
      </c>
      <c r="BD34" s="182"/>
    </row>
    <row r="35" spans="2:64" s="223" customFormat="1" ht="18" customHeight="1" x14ac:dyDescent="0.25">
      <c r="B35" s="165" t="s">
        <v>74</v>
      </c>
      <c r="C35" s="206" t="s">
        <v>75</v>
      </c>
      <c r="D35" s="159">
        <f>D29/(D25-D26-D27)</f>
        <v>537.61482379979054</v>
      </c>
      <c r="E35" s="159">
        <f t="shared" ref="E35:O35" si="53">E29/(E25-E26-E27)</f>
        <v>522.93573500196669</v>
      </c>
      <c r="F35" s="159">
        <f t="shared" si="53"/>
        <v>525.4176851704209</v>
      </c>
      <c r="G35" s="159">
        <f t="shared" si="53"/>
        <v>508.40486405560279</v>
      </c>
      <c r="H35" s="159">
        <f t="shared" si="53"/>
        <v>533.31099695302169</v>
      </c>
      <c r="I35" s="159">
        <f t="shared" si="53"/>
        <v>533.93459079370109</v>
      </c>
      <c r="J35" s="159">
        <f t="shared" si="53"/>
        <v>572.20539743623635</v>
      </c>
      <c r="K35" s="159">
        <f t="shared" si="53"/>
        <v>524.59866815752798</v>
      </c>
      <c r="L35" s="183">
        <f t="shared" si="53"/>
        <v>559.74435963437713</v>
      </c>
      <c r="M35" s="183">
        <f t="shared" si="53"/>
        <v>535.32608051946261</v>
      </c>
      <c r="N35" s="159">
        <f t="shared" si="53"/>
        <v>524.95220846375958</v>
      </c>
      <c r="O35" s="159">
        <f t="shared" si="53"/>
        <v>523.66451573035431</v>
      </c>
      <c r="P35" s="325">
        <f t="shared" si="46"/>
        <v>533.50916047635178</v>
      </c>
      <c r="Q35" s="295">
        <f>Q29/(Q25-Q26-Q27)</f>
        <v>534.5940142505458</v>
      </c>
      <c r="R35" s="159">
        <f t="shared" ref="R35:AB35" si="54">R29/(R25-R26-R27)</f>
        <v>535.87267753979734</v>
      </c>
      <c r="S35" s="159">
        <f t="shared" si="54"/>
        <v>552.57983358827971</v>
      </c>
      <c r="T35" s="159">
        <f t="shared" si="54"/>
        <v>563.09773480920057</v>
      </c>
      <c r="U35" s="159">
        <f t="shared" si="54"/>
        <v>560.74483874018654</v>
      </c>
      <c r="V35" s="159">
        <f t="shared" si="54"/>
        <v>566.0197713670359</v>
      </c>
      <c r="W35" s="159">
        <f t="shared" si="54"/>
        <v>548.99629067324611</v>
      </c>
      <c r="X35" s="159">
        <f t="shared" si="54"/>
        <v>550.80171272084885</v>
      </c>
      <c r="Y35" s="183">
        <f t="shared" si="54"/>
        <v>582.54567579100092</v>
      </c>
      <c r="Z35" s="183">
        <f t="shared" si="54"/>
        <v>556.82580840531716</v>
      </c>
      <c r="AA35" s="159">
        <f t="shared" si="54"/>
        <v>561.34739151995836</v>
      </c>
      <c r="AB35" s="159">
        <f t="shared" si="54"/>
        <v>541.82730987213392</v>
      </c>
      <c r="AC35" s="325">
        <f t="shared" si="48"/>
        <v>554.60442160646255</v>
      </c>
      <c r="AD35" s="295">
        <f>AD29/(AD25-AD26-AD27)</f>
        <v>558.72693516963068</v>
      </c>
      <c r="AE35" s="159">
        <f t="shared" ref="AE35:AO35" si="55">AE29/(AE25-AE26-AE27)</f>
        <v>564.00197626373711</v>
      </c>
      <c r="AF35" s="159">
        <f t="shared" si="55"/>
        <v>556.81998478542812</v>
      </c>
      <c r="AG35" s="159">
        <f t="shared" si="55"/>
        <v>551.9366873831525</v>
      </c>
      <c r="AH35" s="159">
        <f t="shared" si="55"/>
        <v>552.06660899630481</v>
      </c>
      <c r="AI35" s="159">
        <f t="shared" si="55"/>
        <v>590.48308164206503</v>
      </c>
      <c r="AJ35" s="159">
        <f t="shared" si="55"/>
        <v>555.15463434844855</v>
      </c>
      <c r="AK35" s="159">
        <f t="shared" si="55"/>
        <v>537.44042940283043</v>
      </c>
      <c r="AL35" s="183">
        <f t="shared" si="55"/>
        <v>549.84477443472497</v>
      </c>
      <c r="AM35" s="183">
        <f t="shared" si="55"/>
        <v>538.19799278006155</v>
      </c>
      <c r="AN35" s="159">
        <f t="shared" si="55"/>
        <v>525.08428989698962</v>
      </c>
      <c r="AO35" s="159">
        <f t="shared" si="55"/>
        <v>531.8061706434529</v>
      </c>
      <c r="AP35" s="325">
        <f t="shared" si="50"/>
        <v>550.96363047890213</v>
      </c>
      <c r="AQ35" s="295">
        <f>AQ29/(AQ25-AQ26-AQ27)</f>
        <v>532.2291126735895</v>
      </c>
      <c r="AR35" s="159">
        <f t="shared" ref="AR35:BB35" si="56">AR29/(AR25-AR26-AR27)</f>
        <v>555.98948385502104</v>
      </c>
      <c r="AS35" s="159">
        <f t="shared" si="56"/>
        <v>560.78610282590853</v>
      </c>
      <c r="AT35" s="159">
        <f t="shared" si="56"/>
        <v>572.18897560886455</v>
      </c>
      <c r="AU35" s="159">
        <f t="shared" si="56"/>
        <v>562.09675781344822</v>
      </c>
      <c r="AV35" s="159">
        <f t="shared" si="56"/>
        <v>539.72610723717162</v>
      </c>
      <c r="AW35" s="159">
        <f t="shared" si="56"/>
        <v>566.40219457790806</v>
      </c>
      <c r="AX35" s="159">
        <f t="shared" si="56"/>
        <v>611.55033466563532</v>
      </c>
      <c r="AY35" s="183">
        <f t="shared" si="56"/>
        <v>589.71703033955657</v>
      </c>
      <c r="AZ35" s="183">
        <f t="shared" si="56"/>
        <v>596.30830263442863</v>
      </c>
      <c r="BA35" s="159">
        <f t="shared" si="56"/>
        <v>551.47386629099276</v>
      </c>
      <c r="BB35" s="159">
        <f t="shared" si="56"/>
        <v>550.53471461965341</v>
      </c>
      <c r="BC35" s="325">
        <f t="shared" si="52"/>
        <v>565.75024859518157</v>
      </c>
      <c r="BD35" s="182"/>
    </row>
    <row r="36" spans="2:64" s="173" customFormat="1" x14ac:dyDescent="0.2">
      <c r="B36" s="117" t="s">
        <v>76</v>
      </c>
      <c r="C36" s="175" t="s">
        <v>77</v>
      </c>
      <c r="D36" s="144">
        <f>D26/D25</f>
        <v>0.29331830124315594</v>
      </c>
      <c r="E36" s="144">
        <f t="shared" ref="E36:P36" si="57">E26/E25</f>
        <v>0.33355712584821767</v>
      </c>
      <c r="F36" s="144">
        <f t="shared" si="57"/>
        <v>0.2323220104382514</v>
      </c>
      <c r="G36" s="144">
        <f t="shared" si="57"/>
        <v>0.25732800746790169</v>
      </c>
      <c r="H36" s="144">
        <f t="shared" si="57"/>
        <v>0.14096781789688134</v>
      </c>
      <c r="I36" s="144">
        <f t="shared" si="57"/>
        <v>5.6214820922812173E-2</v>
      </c>
      <c r="J36" s="144">
        <f t="shared" si="57"/>
        <v>0</v>
      </c>
      <c r="K36" s="144">
        <f t="shared" si="57"/>
        <v>0.12510846727731403</v>
      </c>
      <c r="L36" s="144">
        <f t="shared" si="57"/>
        <v>0.13984534871480972</v>
      </c>
      <c r="M36" s="144">
        <f t="shared" si="57"/>
        <v>0.10084799891812923</v>
      </c>
      <c r="N36" s="144">
        <f>N26/N25</f>
        <v>0.17887531729002232</v>
      </c>
      <c r="O36" s="144">
        <f t="shared" si="57"/>
        <v>0.2510553514070476</v>
      </c>
      <c r="P36" s="326">
        <f t="shared" si="57"/>
        <v>0.22242086751570045</v>
      </c>
      <c r="Q36" s="297">
        <f>Q26/Q25</f>
        <v>0.22333058247262888</v>
      </c>
      <c r="R36" s="144">
        <f t="shared" ref="R36:AC36" si="58">R26/R25</f>
        <v>0.18716719642810203</v>
      </c>
      <c r="S36" s="144">
        <f t="shared" si="58"/>
        <v>0.19158144640709282</v>
      </c>
      <c r="T36" s="144">
        <f t="shared" si="58"/>
        <v>0.16257598313245025</v>
      </c>
      <c r="U36" s="144">
        <f t="shared" si="58"/>
        <v>0.17105438455544833</v>
      </c>
      <c r="V36" s="144">
        <f t="shared" si="58"/>
        <v>4.0628525501589012E-2</v>
      </c>
      <c r="W36" s="144">
        <f t="shared" si="58"/>
        <v>0</v>
      </c>
      <c r="X36" s="144">
        <f t="shared" si="58"/>
        <v>6.8225135049234803E-2</v>
      </c>
      <c r="Y36" s="144">
        <f t="shared" si="58"/>
        <v>6.5031689974013859E-2</v>
      </c>
      <c r="Z36" s="144">
        <f t="shared" si="58"/>
        <v>0.14244334933840377</v>
      </c>
      <c r="AA36" s="144">
        <f>AA26/AA25</f>
        <v>0.27518475235255374</v>
      </c>
      <c r="AB36" s="144">
        <f t="shared" si="58"/>
        <v>0.20065139262636134</v>
      </c>
      <c r="AC36" s="326">
        <f t="shared" si="58"/>
        <v>0.18016434901054376</v>
      </c>
      <c r="AD36" s="297">
        <f>AD26/AD25</f>
        <v>0.21385954874437701</v>
      </c>
      <c r="AE36" s="144">
        <f t="shared" ref="AE36:AO36" si="59">AE26/AE25</f>
        <v>0.14227617000460363</v>
      </c>
      <c r="AF36" s="144">
        <f t="shared" si="59"/>
        <v>8.6980124116318946E-2</v>
      </c>
      <c r="AG36" s="144">
        <f t="shared" si="59"/>
        <v>5.0627003912529348E-2</v>
      </c>
      <c r="AH36" s="144">
        <f t="shared" si="59"/>
        <v>1.2316585590206978E-2</v>
      </c>
      <c r="AI36" s="144">
        <f t="shared" si="59"/>
        <v>2.0629807500424251E-2</v>
      </c>
      <c r="AJ36" s="144">
        <f t="shared" si="59"/>
        <v>5.9317735471734806E-3</v>
      </c>
      <c r="AK36" s="144">
        <f t="shared" si="59"/>
        <v>1.9468012398776689E-2</v>
      </c>
      <c r="AL36" s="144">
        <f t="shared" si="59"/>
        <v>2.6399334761494066E-2</v>
      </c>
      <c r="AM36" s="144">
        <f t="shared" si="59"/>
        <v>0.20663591180171381</v>
      </c>
      <c r="AN36" s="144">
        <f>AN26/AN25</f>
        <v>0.28738787514903197</v>
      </c>
      <c r="AO36" s="144">
        <f t="shared" si="59"/>
        <v>0.21276386084277807</v>
      </c>
      <c r="AP36" s="326">
        <f t="shared" ref="AP36" si="60">AP26/AP25</f>
        <v>0.15194691327267179</v>
      </c>
      <c r="AQ36" s="297">
        <f>AQ26/AQ25</f>
        <v>0.3640442451176214</v>
      </c>
      <c r="AR36" s="144">
        <f t="shared" ref="AR36:BC36" si="61">AR26/AR25</f>
        <v>0.20921069472700835</v>
      </c>
      <c r="AS36" s="144">
        <f t="shared" si="61"/>
        <v>0.10460887140867443</v>
      </c>
      <c r="AT36" s="144">
        <f t="shared" si="61"/>
        <v>6.1233561660182817E-2</v>
      </c>
      <c r="AU36" s="144">
        <f t="shared" si="61"/>
        <v>0.12245920355837606</v>
      </c>
      <c r="AV36" s="144">
        <f t="shared" si="61"/>
        <v>9.1764219075525538E-2</v>
      </c>
      <c r="AW36" s="144">
        <f t="shared" si="61"/>
        <v>0</v>
      </c>
      <c r="AX36" s="144">
        <f t="shared" si="61"/>
        <v>1.2970315810977101E-2</v>
      </c>
      <c r="AY36" s="144">
        <f t="shared" si="61"/>
        <v>0</v>
      </c>
      <c r="AZ36" s="144">
        <f t="shared" si="61"/>
        <v>0.11141760509116351</v>
      </c>
      <c r="BA36" s="144">
        <f>BA26/BA25</f>
        <v>0.14359949591946611</v>
      </c>
      <c r="BB36" s="144">
        <f t="shared" si="61"/>
        <v>0.18855697140765254</v>
      </c>
      <c r="BC36" s="326">
        <f t="shared" si="61"/>
        <v>0.16731170881223381</v>
      </c>
      <c r="BD36" s="174"/>
    </row>
    <row r="37" spans="2:64" s="173" customFormat="1" x14ac:dyDescent="0.2">
      <c r="B37" s="117" t="s">
        <v>78</v>
      </c>
      <c r="C37" s="175" t="s">
        <v>77</v>
      </c>
      <c r="D37" s="144">
        <f>(D28-D29)/D28</f>
        <v>0.20609232669947922</v>
      </c>
      <c r="E37" s="144">
        <f t="shared" ref="E37:O37" si="62">(E28-E29)/E28</f>
        <v>0.21175035561828354</v>
      </c>
      <c r="F37" s="144">
        <f t="shared" si="62"/>
        <v>0.21600368258455194</v>
      </c>
      <c r="G37" s="144">
        <f t="shared" si="62"/>
        <v>0.25480305089378485</v>
      </c>
      <c r="H37" s="144">
        <f t="shared" si="62"/>
        <v>0.44891337773571133</v>
      </c>
      <c r="I37" s="144">
        <f t="shared" si="62"/>
        <v>0.63616682130706825</v>
      </c>
      <c r="J37" s="144">
        <f t="shared" si="62"/>
        <v>0.69524457303182541</v>
      </c>
      <c r="K37" s="144">
        <f t="shared" si="62"/>
        <v>0.61572752965384436</v>
      </c>
      <c r="L37" s="144">
        <f t="shared" si="62"/>
        <v>0.46922362910570453</v>
      </c>
      <c r="M37" s="144">
        <f t="shared" si="62"/>
        <v>0.29606913887033509</v>
      </c>
      <c r="N37" s="144">
        <f t="shared" si="62"/>
        <v>0.21833902233999425</v>
      </c>
      <c r="O37" s="144">
        <f t="shared" si="62"/>
        <v>0.20536729073738885</v>
      </c>
      <c r="P37" s="326">
        <f t="shared" ref="P37" si="63">(P28-P29)/P28</f>
        <v>0.34499307269973289</v>
      </c>
      <c r="Q37" s="297">
        <f>(Q28-Q29)/Q28</f>
        <v>0.1893455533547784</v>
      </c>
      <c r="R37" s="144">
        <f t="shared" ref="R37:AB37" si="64">(R28-R29)/R28</f>
        <v>0.19169356055977632</v>
      </c>
      <c r="S37" s="144">
        <f t="shared" si="64"/>
        <v>0.1799210338535697</v>
      </c>
      <c r="T37" s="144">
        <f t="shared" si="64"/>
        <v>0.22103035621334316</v>
      </c>
      <c r="U37" s="144">
        <f t="shared" si="64"/>
        <v>0.43853700323117928</v>
      </c>
      <c r="V37" s="144">
        <f t="shared" si="64"/>
        <v>0.67752538119404093</v>
      </c>
      <c r="W37" s="144">
        <f t="shared" si="64"/>
        <v>0.61725899283342633</v>
      </c>
      <c r="X37" s="144">
        <f t="shared" si="64"/>
        <v>0.65709134962745763</v>
      </c>
      <c r="Y37" s="144">
        <f t="shared" si="64"/>
        <v>0.49225591616070252</v>
      </c>
      <c r="Z37" s="144">
        <f t="shared" si="64"/>
        <v>0.37108703438293639</v>
      </c>
      <c r="AA37" s="144">
        <f t="shared" si="64"/>
        <v>0.2949866803357305</v>
      </c>
      <c r="AB37" s="144">
        <f t="shared" si="64"/>
        <v>0.21136738447676165</v>
      </c>
      <c r="AC37" s="326">
        <f t="shared" ref="AC37" si="65">(AC28-AC29)/AC28</f>
        <v>0.34855842631861927</v>
      </c>
      <c r="AD37" s="297">
        <f>(AD28-AD29)/AD28</f>
        <v>0.17104797690782453</v>
      </c>
      <c r="AE37" s="144">
        <f t="shared" ref="AE37:AO37" si="66">(AE28-AE29)/AE28</f>
        <v>0.16338875959121443</v>
      </c>
      <c r="AF37" s="144">
        <f t="shared" si="66"/>
        <v>0.20431003639212872</v>
      </c>
      <c r="AG37" s="144">
        <f t="shared" si="66"/>
        <v>0.27985728311110147</v>
      </c>
      <c r="AH37" s="144">
        <f t="shared" si="66"/>
        <v>0.43625766322791032</v>
      </c>
      <c r="AI37" s="144">
        <f t="shared" si="66"/>
        <v>0.51850087913019938</v>
      </c>
      <c r="AJ37" s="144">
        <f t="shared" si="66"/>
        <v>0.61200468358536875</v>
      </c>
      <c r="AK37" s="144">
        <f t="shared" si="66"/>
        <v>0.56455982528909787</v>
      </c>
      <c r="AL37" s="144">
        <f t="shared" si="66"/>
        <v>0.45518475675658571</v>
      </c>
      <c r="AM37" s="144">
        <f t="shared" si="66"/>
        <v>0.27519946665895328</v>
      </c>
      <c r="AN37" s="144">
        <f t="shared" si="66"/>
        <v>0.23523842795957425</v>
      </c>
      <c r="AO37" s="144">
        <f t="shared" si="66"/>
        <v>0.18620567890133077</v>
      </c>
      <c r="AP37" s="326">
        <f t="shared" ref="AP37" si="67">(AP28-AP29)/AP28</f>
        <v>0.30189923752212849</v>
      </c>
      <c r="AQ37" s="297">
        <f>(AQ28-AQ29)/AQ28</f>
        <v>0.18318796299107101</v>
      </c>
      <c r="AR37" s="144">
        <f t="shared" ref="AR37:BC37" si="68">(AR28-AR29)/AR28</f>
        <v>0.15339095949429812</v>
      </c>
      <c r="AS37" s="144">
        <f t="shared" si="68"/>
        <v>0.16365213580107363</v>
      </c>
      <c r="AT37" s="144">
        <f t="shared" si="68"/>
        <v>0.16592165464272302</v>
      </c>
      <c r="AU37" s="144">
        <f t="shared" si="68"/>
        <v>0.47570404096631291</v>
      </c>
      <c r="AV37" s="144">
        <f t="shared" si="68"/>
        <v>0.61906870557390303</v>
      </c>
      <c r="AW37" s="144">
        <f t="shared" si="68"/>
        <v>0.66669533523968949</v>
      </c>
      <c r="AX37" s="144">
        <f t="shared" si="68"/>
        <v>0.66519313305276839</v>
      </c>
      <c r="AY37" s="144">
        <f t="shared" si="68"/>
        <v>0.60064114537596736</v>
      </c>
      <c r="AZ37" s="144">
        <f t="shared" si="68"/>
        <v>0.3462963129668743</v>
      </c>
      <c r="BA37" s="144">
        <f t="shared" si="68"/>
        <v>0.20797057773968333</v>
      </c>
      <c r="BB37" s="144">
        <f t="shared" si="68"/>
        <v>0.19077392615319658</v>
      </c>
      <c r="BC37" s="326">
        <f t="shared" si="68"/>
        <v>0.34049273204184938</v>
      </c>
      <c r="BD37" s="174"/>
    </row>
    <row r="38" spans="2:64" s="173" customFormat="1" x14ac:dyDescent="0.2">
      <c r="B38" s="117" t="s">
        <v>79</v>
      </c>
      <c r="C38" s="175" t="s">
        <v>77</v>
      </c>
      <c r="D38" s="166">
        <f>(D25-D26+D29/1000*(1-D40)*0.86)/(7*(D33*D29/1000*(1-D40)+D30*(D25-D26)))*1000</f>
        <v>0.82777967483388371</v>
      </c>
      <c r="E38" s="166">
        <f t="shared" ref="E38:O38" si="69">(E25-E26+E29/1000*(1-E40)*0.86)/(7*(E33*E29/1000*(1-E40)+E30*(E25-E26)))*1000</f>
        <v>0.83226867924229486</v>
      </c>
      <c r="F38" s="166">
        <f t="shared" si="69"/>
        <v>0.83292396556473414</v>
      </c>
      <c r="G38" s="166">
        <f t="shared" si="69"/>
        <v>0.8286590293781142</v>
      </c>
      <c r="H38" s="166">
        <f t="shared" si="69"/>
        <v>0.80843069946907187</v>
      </c>
      <c r="I38" s="166">
        <f t="shared" si="69"/>
        <v>0.80254629921152421</v>
      </c>
      <c r="J38" s="166">
        <f t="shared" si="69"/>
        <v>0.80554323300376074</v>
      </c>
      <c r="K38" s="166">
        <f t="shared" si="69"/>
        <v>0.79699802184710677</v>
      </c>
      <c r="L38" s="166">
        <f t="shared" si="69"/>
        <v>0.80317566964823495</v>
      </c>
      <c r="M38" s="184">
        <f t="shared" si="69"/>
        <v>0.82722002306919684</v>
      </c>
      <c r="N38" s="166">
        <f t="shared" si="69"/>
        <v>0.82423867213713276</v>
      </c>
      <c r="O38" s="166">
        <f t="shared" si="69"/>
        <v>0.82876758489878022</v>
      </c>
      <c r="P38" s="327">
        <f t="shared" ref="P38" si="70">(P25-P26+P29/1000*(1-P40)*0.86)/(7*(P33*P29/1000*(1-P40)+P30*(P25-P26)))*1000</f>
        <v>0.81808427067377032</v>
      </c>
      <c r="Q38" s="298">
        <f>(Q25-Q26+Q29/1000*(1-Q40)*0.86)/(7*(Q33*Q29/1000*(1-Q40)+Q30*(Q25-Q26)))*1000</f>
        <v>0.82322403898768637</v>
      </c>
      <c r="R38" s="166">
        <f t="shared" ref="R38:AB38" si="71">(R25-R26+R29/1000*(1-R40)*0.86)/(7*(R33*R29/1000*(1-R40)+R30*(R25-R26)))*1000</f>
        <v>0.82926331020900079</v>
      </c>
      <c r="S38" s="166">
        <f t="shared" si="71"/>
        <v>0.8225610070219348</v>
      </c>
      <c r="T38" s="166">
        <f t="shared" si="71"/>
        <v>0.82745531624062496</v>
      </c>
      <c r="U38" s="166">
        <f t="shared" si="71"/>
        <v>0.82992699252785174</v>
      </c>
      <c r="V38" s="166">
        <f t="shared" si="71"/>
        <v>0.79924808304806538</v>
      </c>
      <c r="W38" s="166">
        <f t="shared" si="71"/>
        <v>0.80052572406571465</v>
      </c>
      <c r="X38" s="166">
        <f t="shared" si="71"/>
        <v>0.80230932183918002</v>
      </c>
      <c r="Y38" s="166">
        <f t="shared" si="71"/>
        <v>0.80105748137027866</v>
      </c>
      <c r="Z38" s="184">
        <f t="shared" si="71"/>
        <v>0.81146543345082778</v>
      </c>
      <c r="AA38" s="166">
        <f t="shared" si="71"/>
        <v>0.81207424708114728</v>
      </c>
      <c r="AB38" s="166">
        <f t="shared" si="71"/>
        <v>0.83110649371647094</v>
      </c>
      <c r="AC38" s="327">
        <f t="shared" ref="AC38" si="72">(AC25-AC26+AC29/1000*(1-AC40)*0.86)/(7*(AC33*AC29/1000*(1-AC40)+AC30*(AC25-AC26)))*1000</f>
        <v>0.81571513219811287</v>
      </c>
      <c r="AD38" s="298">
        <f>(AD25-AD26+AD29/1000*(1-AD40)*0.86)/(7*(AD33*AD29/1000*(1-AD40)+AD30*(AD25-AD26)))*1000</f>
        <v>0.8273167651631832</v>
      </c>
      <c r="AE38" s="166">
        <f t="shared" ref="AE38:AO38" si="73">(AE25-AE26+AE29/1000*(1-AE40)*0.86)/(7*(AE33*AE29/1000*(1-AE40)+AE30*(AE25-AE26)))*1000</f>
        <v>0.83244040355744742</v>
      </c>
      <c r="AF38" s="166">
        <f t="shared" si="73"/>
        <v>0.82853993008936599</v>
      </c>
      <c r="AG38" s="166">
        <f t="shared" si="73"/>
        <v>0.82338455564461321</v>
      </c>
      <c r="AH38" s="166">
        <f t="shared" si="73"/>
        <v>0.81416502857566897</v>
      </c>
      <c r="AI38" s="166">
        <f t="shared" si="73"/>
        <v>0.80140316490003394</v>
      </c>
      <c r="AJ38" s="166">
        <f t="shared" si="73"/>
        <v>0.79920000012974535</v>
      </c>
      <c r="AK38" s="166">
        <f t="shared" si="73"/>
        <v>0.80945993148381501</v>
      </c>
      <c r="AL38" s="166">
        <f t="shared" si="73"/>
        <v>0.79968448433201011</v>
      </c>
      <c r="AM38" s="184">
        <f t="shared" si="73"/>
        <v>0.81694862567119386</v>
      </c>
      <c r="AN38" s="166">
        <f t="shared" si="73"/>
        <v>0.80751298445473219</v>
      </c>
      <c r="AO38" s="166">
        <f t="shared" si="73"/>
        <v>0.81405436219259908</v>
      </c>
      <c r="AP38" s="327">
        <f t="shared" ref="AP38" si="74">(AP25-AP26+AP29/1000*(1-AP40)*0.86)/(7*(AP33*AP29/1000*(1-AP40)+AP30*(AP25-AP26)))*1000</f>
        <v>0.81439885546291302</v>
      </c>
      <c r="AQ38" s="298">
        <f>(AQ25-AQ26+AQ29/1000*(1-AQ40)*0.86)/(7*(AQ33*AQ29/1000*(1-AQ40)+AQ30*(AQ25-AQ26)))*1000</f>
        <v>0.82475745434206127</v>
      </c>
      <c r="AR38" s="166">
        <f t="shared" ref="AR38:BC38" si="75">(AR25-AR26+AR29/1000*(1-AR40)*0.86)/(7*(AR33*AR29/1000*(1-AR40)+AR30*(AR25-AR26)))*1000</f>
        <v>0.83749237701260915</v>
      </c>
      <c r="AS38" s="166">
        <f t="shared" si="75"/>
        <v>0.84053296924996035</v>
      </c>
      <c r="AT38" s="166">
        <f t="shared" si="75"/>
        <v>0.83715469684827992</v>
      </c>
      <c r="AU38" s="166">
        <f t="shared" si="75"/>
        <v>0.81140789234488087</v>
      </c>
      <c r="AV38" s="166">
        <f t="shared" si="75"/>
        <v>0.79059827644610259</v>
      </c>
      <c r="AW38" s="166">
        <f t="shared" si="75"/>
        <v>0.79922802564191919</v>
      </c>
      <c r="AX38" s="166">
        <f t="shared" si="75"/>
        <v>0.80348218269520288</v>
      </c>
      <c r="AY38" s="166">
        <f t="shared" si="75"/>
        <v>0.81413899505293408</v>
      </c>
      <c r="AZ38" s="184">
        <f t="shared" si="75"/>
        <v>0.81529204561875224</v>
      </c>
      <c r="BA38" s="166">
        <f t="shared" si="75"/>
        <v>0.83481083959592439</v>
      </c>
      <c r="BB38" s="166">
        <f t="shared" si="75"/>
        <v>0.82845835610329543</v>
      </c>
      <c r="BC38" s="327">
        <f t="shared" si="75"/>
        <v>0.81953211691849537</v>
      </c>
      <c r="BD38" s="174"/>
    </row>
    <row r="39" spans="2:64" s="173" customFormat="1" x14ac:dyDescent="0.2">
      <c r="B39" s="117" t="s">
        <v>80</v>
      </c>
      <c r="C39" s="175" t="s">
        <v>81</v>
      </c>
      <c r="D39" s="168">
        <v>364217</v>
      </c>
      <c r="E39" s="168">
        <v>364711</v>
      </c>
      <c r="F39" s="168">
        <v>315109</v>
      </c>
      <c r="G39" s="224">
        <v>203941</v>
      </c>
      <c r="H39" s="169">
        <v>172290</v>
      </c>
      <c r="I39" s="168">
        <v>166185</v>
      </c>
      <c r="J39" s="168">
        <v>198220</v>
      </c>
      <c r="K39" s="168">
        <v>147303</v>
      </c>
      <c r="L39" s="170">
        <v>209238</v>
      </c>
      <c r="M39" s="171">
        <v>259305</v>
      </c>
      <c r="N39" s="168">
        <v>275880</v>
      </c>
      <c r="O39" s="168">
        <v>367824</v>
      </c>
      <c r="P39" s="324">
        <f t="shared" ref="P39" si="76">SUM(D39:O39)</f>
        <v>3044223</v>
      </c>
      <c r="Q39" s="299">
        <v>357524</v>
      </c>
      <c r="R39" s="168">
        <v>288794</v>
      </c>
      <c r="S39" s="168">
        <v>314607</v>
      </c>
      <c r="T39" s="224">
        <v>237298</v>
      </c>
      <c r="U39" s="169">
        <v>184462</v>
      </c>
      <c r="V39" s="168">
        <v>185345.00000000003</v>
      </c>
      <c r="W39" s="168">
        <v>159143</v>
      </c>
      <c r="X39" s="168">
        <v>171982.00000000003</v>
      </c>
      <c r="Y39" s="170">
        <v>199763</v>
      </c>
      <c r="Z39" s="171">
        <v>256627</v>
      </c>
      <c r="AA39" s="168">
        <v>317950</v>
      </c>
      <c r="AB39" s="168">
        <v>367762</v>
      </c>
      <c r="AC39" s="324">
        <f t="shared" ref="AC39" si="77">SUM(Q39:AB39)</f>
        <v>3041257</v>
      </c>
      <c r="AD39" s="299">
        <v>351219</v>
      </c>
      <c r="AE39" s="168">
        <v>322456</v>
      </c>
      <c r="AF39" s="168">
        <v>309371</v>
      </c>
      <c r="AG39" s="224">
        <v>208474</v>
      </c>
      <c r="AH39" s="169">
        <v>138125</v>
      </c>
      <c r="AI39" s="168">
        <v>130067</v>
      </c>
      <c r="AJ39" s="168">
        <v>173085</v>
      </c>
      <c r="AK39" s="168">
        <v>150621</v>
      </c>
      <c r="AL39" s="170">
        <v>136071</v>
      </c>
      <c r="AM39" s="171">
        <v>219971</v>
      </c>
      <c r="AN39" s="168">
        <v>278788</v>
      </c>
      <c r="AO39" s="168">
        <v>357496</v>
      </c>
      <c r="AP39" s="324">
        <f t="shared" ref="AP39" si="78">SUM(AD39:AO39)</f>
        <v>2775744</v>
      </c>
      <c r="AQ39" s="299">
        <v>376578</v>
      </c>
      <c r="AR39" s="168">
        <v>324243</v>
      </c>
      <c r="AS39" s="168">
        <v>299903</v>
      </c>
      <c r="AT39" s="225">
        <v>194828</v>
      </c>
      <c r="AU39" s="169">
        <v>198590</v>
      </c>
      <c r="AV39" s="168">
        <v>151788</v>
      </c>
      <c r="AW39" s="168">
        <v>190594</v>
      </c>
      <c r="AX39" s="168">
        <v>196337</v>
      </c>
      <c r="AY39" s="170">
        <v>186541</v>
      </c>
      <c r="AZ39" s="171">
        <v>240333</v>
      </c>
      <c r="BA39" s="168">
        <v>280278</v>
      </c>
      <c r="BB39" s="168">
        <v>333475.99999999994</v>
      </c>
      <c r="BC39" s="324">
        <f t="shared" ref="BC39" si="79">SUM(AQ39:BB39)</f>
        <v>2973489</v>
      </c>
      <c r="BD39" s="174"/>
    </row>
    <row r="40" spans="2:64" s="173" customFormat="1" x14ac:dyDescent="0.2">
      <c r="B40" s="117" t="s">
        <v>82</v>
      </c>
      <c r="C40" s="175" t="s">
        <v>77</v>
      </c>
      <c r="D40" s="148">
        <v>9.8460680896212086E-2</v>
      </c>
      <c r="E40" s="145">
        <v>9.9917076875061142E-2</v>
      </c>
      <c r="F40" s="145">
        <v>0.10389578112826697</v>
      </c>
      <c r="G40" s="147">
        <v>0.13055370982153269</v>
      </c>
      <c r="H40" s="149">
        <v>0.10544954756711068</v>
      </c>
      <c r="I40" s="147">
        <v>9.2622991987776793E-2</v>
      </c>
      <c r="J40" s="148">
        <v>8.0705106092705314E-2</v>
      </c>
      <c r="K40" s="147">
        <v>0.10876552683522131</v>
      </c>
      <c r="L40" s="148">
        <v>9.7406170200475317E-2</v>
      </c>
      <c r="M40" s="147">
        <v>9.3548480966486047E-2</v>
      </c>
      <c r="N40" s="147">
        <v>0.10480347833551042</v>
      </c>
      <c r="O40" s="226">
        <v>9.5269333884579921E-2</v>
      </c>
      <c r="P40" s="328">
        <f>AVERAGE(D40:O40)</f>
        <v>0.10094982371591155</v>
      </c>
      <c r="Q40" s="300">
        <v>9.6896493734840258E-2</v>
      </c>
      <c r="R40" s="145">
        <v>0.10079819158035465</v>
      </c>
      <c r="S40" s="145">
        <v>9.9724363451139511E-2</v>
      </c>
      <c r="T40" s="147">
        <v>0.11222817381399358</v>
      </c>
      <c r="U40" s="149">
        <v>0.11108459045840913</v>
      </c>
      <c r="V40" s="147">
        <v>0.10451515032743963</v>
      </c>
      <c r="W40" s="148">
        <v>0.11110754672373105</v>
      </c>
      <c r="X40" s="147">
        <v>9.6986308217803144E-2</v>
      </c>
      <c r="Y40" s="148">
        <v>9.7528547453770736E-2</v>
      </c>
      <c r="Z40" s="147">
        <v>0.10543054002594085</v>
      </c>
      <c r="AA40" s="147">
        <v>0.10580361076155714</v>
      </c>
      <c r="AB40" s="226">
        <v>0.103322400129627</v>
      </c>
      <c r="AC40" s="328">
        <f>AVERAGE(Q40:AB40)</f>
        <v>0.10378549305655055</v>
      </c>
      <c r="AD40" s="300">
        <v>9.9553793056294596E-2</v>
      </c>
      <c r="AE40" s="145">
        <v>9.5850173751547474E-2</v>
      </c>
      <c r="AF40" s="145">
        <v>0.10669794533156486</v>
      </c>
      <c r="AG40" s="147">
        <v>0.11571526022931072</v>
      </c>
      <c r="AH40" s="149">
        <v>0.11223373268934993</v>
      </c>
      <c r="AI40" s="147">
        <v>0.10763880960225475</v>
      </c>
      <c r="AJ40" s="148">
        <v>0.10667131211585898</v>
      </c>
      <c r="AK40" s="147">
        <v>0.12046812181292182</v>
      </c>
      <c r="AL40" s="148">
        <v>0.13631853707398975</v>
      </c>
      <c r="AM40" s="147">
        <v>0.13666717600121792</v>
      </c>
      <c r="AN40" s="147">
        <v>0.13389943177196581</v>
      </c>
      <c r="AO40" s="226">
        <v>0.11176857367515662</v>
      </c>
      <c r="AP40" s="328">
        <f>AVERAGE(AD40:AO40)</f>
        <v>0.11529023892595275</v>
      </c>
      <c r="AQ40" s="300">
        <v>0.11815733143207359</v>
      </c>
      <c r="AR40" s="145">
        <v>0.1114544322678592</v>
      </c>
      <c r="AS40" s="187">
        <v>0.10847144310466028</v>
      </c>
      <c r="AT40" s="147">
        <v>0.12778093577796645</v>
      </c>
      <c r="AU40" s="149">
        <v>0.1111077172466849</v>
      </c>
      <c r="AV40" s="147">
        <v>0.10221143552405502</v>
      </c>
      <c r="AW40" s="148">
        <v>0.10206314621672208</v>
      </c>
      <c r="AX40" s="147">
        <v>9.6625256206421262E-2</v>
      </c>
      <c r="AY40" s="148">
        <v>9.9869522923189735E-2</v>
      </c>
      <c r="AZ40" s="147">
        <v>0.1133049454355996</v>
      </c>
      <c r="BA40" s="147">
        <v>0.1175456179921083</v>
      </c>
      <c r="BB40" s="226">
        <v>0.11501556126145975</v>
      </c>
      <c r="BC40" s="328">
        <f>AVERAGE(AQ40:BB40)</f>
        <v>0.11030061211573337</v>
      </c>
      <c r="BD40" s="185"/>
      <c r="BE40" s="185"/>
      <c r="BF40" s="185"/>
      <c r="BG40" s="185"/>
      <c r="BH40" s="185"/>
      <c r="BI40" s="185"/>
      <c r="BJ40" s="185"/>
      <c r="BK40" s="185"/>
      <c r="BL40" s="185"/>
    </row>
    <row r="42" spans="2:64" s="173" customFormat="1" ht="15.75" x14ac:dyDescent="0.2">
      <c r="B42" s="431" t="s">
        <v>21</v>
      </c>
      <c r="C42" s="431" t="s">
        <v>2</v>
      </c>
      <c r="D42" s="431" t="s">
        <v>88</v>
      </c>
      <c r="E42" s="431"/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 t="s">
        <v>88</v>
      </c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1"/>
      <c r="AD42" s="431" t="s">
        <v>88</v>
      </c>
      <c r="AE42" s="431"/>
      <c r="AF42" s="431"/>
      <c r="AG42" s="431"/>
      <c r="AH42" s="431"/>
      <c r="AI42" s="431"/>
      <c r="AJ42" s="431"/>
      <c r="AK42" s="431"/>
      <c r="AL42" s="431"/>
      <c r="AM42" s="431"/>
      <c r="AN42" s="431"/>
      <c r="AO42" s="431"/>
      <c r="AP42" s="431"/>
      <c r="AQ42" s="431" t="s">
        <v>88</v>
      </c>
      <c r="AR42" s="431"/>
      <c r="AS42" s="431"/>
      <c r="AT42" s="431"/>
      <c r="AU42" s="431"/>
      <c r="AV42" s="431"/>
      <c r="AW42" s="431"/>
      <c r="AX42" s="431"/>
      <c r="AY42" s="431"/>
      <c r="AZ42" s="431"/>
      <c r="BA42" s="431"/>
      <c r="BB42" s="431"/>
      <c r="BC42" s="431"/>
      <c r="BD42" s="174"/>
    </row>
    <row r="43" spans="2:64" s="173" customFormat="1" ht="15.75" x14ac:dyDescent="0.2">
      <c r="B43" s="431"/>
      <c r="C43" s="431"/>
      <c r="D43" s="61" t="s">
        <v>3</v>
      </c>
      <c r="E43" s="61" t="s">
        <v>4</v>
      </c>
      <c r="F43" s="61" t="s">
        <v>5</v>
      </c>
      <c r="G43" s="61" t="s">
        <v>6</v>
      </c>
      <c r="H43" s="61" t="s">
        <v>7</v>
      </c>
      <c r="I43" s="61" t="s">
        <v>8</v>
      </c>
      <c r="J43" s="61" t="s">
        <v>9</v>
      </c>
      <c r="K43" s="61" t="s">
        <v>10</v>
      </c>
      <c r="L43" s="194" t="s">
        <v>11</v>
      </c>
      <c r="M43" s="195" t="s">
        <v>12</v>
      </c>
      <c r="N43" s="61" t="s">
        <v>13</v>
      </c>
      <c r="O43" s="61" t="s">
        <v>14</v>
      </c>
      <c r="P43" s="322" t="s">
        <v>33</v>
      </c>
      <c r="Q43" s="290" t="s">
        <v>3</v>
      </c>
      <c r="R43" s="61" t="s">
        <v>4</v>
      </c>
      <c r="S43" s="61" t="s">
        <v>5</v>
      </c>
      <c r="T43" s="61" t="s">
        <v>6</v>
      </c>
      <c r="U43" s="61" t="s">
        <v>7</v>
      </c>
      <c r="V43" s="61" t="s">
        <v>8</v>
      </c>
      <c r="W43" s="61" t="s">
        <v>9</v>
      </c>
      <c r="X43" s="61" t="s">
        <v>10</v>
      </c>
      <c r="Y43" s="194" t="s">
        <v>11</v>
      </c>
      <c r="Z43" s="195" t="s">
        <v>12</v>
      </c>
      <c r="AA43" s="61" t="s">
        <v>13</v>
      </c>
      <c r="AB43" s="61" t="s">
        <v>14</v>
      </c>
      <c r="AC43" s="322" t="s">
        <v>33</v>
      </c>
      <c r="AD43" s="290" t="s">
        <v>3</v>
      </c>
      <c r="AE43" s="61" t="s">
        <v>4</v>
      </c>
      <c r="AF43" s="61" t="s">
        <v>5</v>
      </c>
      <c r="AG43" s="61" t="s">
        <v>6</v>
      </c>
      <c r="AH43" s="61" t="s">
        <v>7</v>
      </c>
      <c r="AI43" s="61" t="s">
        <v>8</v>
      </c>
      <c r="AJ43" s="61" t="s">
        <v>9</v>
      </c>
      <c r="AK43" s="61" t="s">
        <v>10</v>
      </c>
      <c r="AL43" s="194" t="s">
        <v>11</v>
      </c>
      <c r="AM43" s="195" t="s">
        <v>12</v>
      </c>
      <c r="AN43" s="61" t="s">
        <v>13</v>
      </c>
      <c r="AO43" s="61" t="s">
        <v>14</v>
      </c>
      <c r="AP43" s="322" t="s">
        <v>33</v>
      </c>
      <c r="AQ43" s="290" t="s">
        <v>3</v>
      </c>
      <c r="AR43" s="61" t="s">
        <v>4</v>
      </c>
      <c r="AS43" s="61" t="s">
        <v>5</v>
      </c>
      <c r="AT43" s="61" t="s">
        <v>6</v>
      </c>
      <c r="AU43" s="61" t="s">
        <v>7</v>
      </c>
      <c r="AV43" s="61" t="s">
        <v>8</v>
      </c>
      <c r="AW43" s="61" t="s">
        <v>9</v>
      </c>
      <c r="AX43" s="61" t="s">
        <v>10</v>
      </c>
      <c r="AY43" s="194" t="s">
        <v>11</v>
      </c>
      <c r="AZ43" s="195" t="s">
        <v>12</v>
      </c>
      <c r="BA43" s="61" t="s">
        <v>13</v>
      </c>
      <c r="BB43" s="61" t="s">
        <v>14</v>
      </c>
      <c r="BC43" s="322" t="s">
        <v>33</v>
      </c>
      <c r="BD43" s="174"/>
    </row>
    <row r="44" spans="2:64" s="173" customFormat="1" x14ac:dyDescent="0.2">
      <c r="B44" s="191" t="s">
        <v>62</v>
      </c>
      <c r="C44" s="205" t="s">
        <v>15</v>
      </c>
      <c r="D44" s="227">
        <v>1342.9280000000001</v>
      </c>
      <c r="E44" s="227">
        <v>1434.50875</v>
      </c>
      <c r="F44" s="227">
        <v>1136.566875</v>
      </c>
      <c r="G44" s="228">
        <v>678.11612500000001</v>
      </c>
      <c r="H44" s="227">
        <v>352.10096874999999</v>
      </c>
      <c r="I44" s="227">
        <v>209.43801562499999</v>
      </c>
      <c r="J44" s="228">
        <v>183.396046875</v>
      </c>
      <c r="K44" s="228">
        <v>243.33703125</v>
      </c>
      <c r="L44" s="227">
        <v>448.851</v>
      </c>
      <c r="M44" s="227">
        <v>714.29100000000005</v>
      </c>
      <c r="N44" s="227">
        <v>914.14200000000005</v>
      </c>
      <c r="O44" s="227">
        <v>1426.5721249999999</v>
      </c>
      <c r="P44" s="329">
        <f t="shared" ref="P44:P48" si="80">SUM(D44:O44)</f>
        <v>9084.2479375000003</v>
      </c>
      <c r="Q44" s="301">
        <v>1389.8498750000001</v>
      </c>
      <c r="R44" s="153">
        <v>1059.3888750000001</v>
      </c>
      <c r="S44" s="153">
        <v>1122.8979999999999</v>
      </c>
      <c r="T44" s="177">
        <v>781.65306250000003</v>
      </c>
      <c r="U44" s="153">
        <v>424.83100000000002</v>
      </c>
      <c r="V44" s="153">
        <v>210.21898437499999</v>
      </c>
      <c r="W44" s="177">
        <v>195.36600000000001</v>
      </c>
      <c r="X44" s="177">
        <v>192.28700000000001</v>
      </c>
      <c r="Y44" s="153">
        <v>389.983</v>
      </c>
      <c r="Z44" s="153">
        <v>689.28899999999999</v>
      </c>
      <c r="AA44" s="153">
        <v>1038.336</v>
      </c>
      <c r="AB44" s="153">
        <v>1333.867</v>
      </c>
      <c r="AC44" s="338">
        <f t="shared" ref="AC44:AC48" si="81">SUM(Q44:AB44)</f>
        <v>8827.967796875002</v>
      </c>
      <c r="AD44" s="292">
        <v>1373.598</v>
      </c>
      <c r="AE44" s="152">
        <v>1207.8009999999999</v>
      </c>
      <c r="AF44" s="152">
        <v>1055.3478749999999</v>
      </c>
      <c r="AG44" s="177">
        <v>588.52106249999997</v>
      </c>
      <c r="AH44" s="152">
        <v>286.18599999999998</v>
      </c>
      <c r="AI44" s="152">
        <v>228.82498437500001</v>
      </c>
      <c r="AJ44" s="177">
        <v>202.79103125</v>
      </c>
      <c r="AK44" s="177">
        <v>205.12609375</v>
      </c>
      <c r="AL44" s="152">
        <v>252.214</v>
      </c>
      <c r="AM44" s="152">
        <v>741.41525000000001</v>
      </c>
      <c r="AN44" s="152">
        <v>1063.2871250000001</v>
      </c>
      <c r="AO44" s="152">
        <v>1388.8053749999999</v>
      </c>
      <c r="AP44" s="338">
        <f t="shared" ref="AP44:AP48" si="82">SUM(AD44:AO44)</f>
        <v>8593.9177968749991</v>
      </c>
      <c r="AQ44" s="292">
        <v>1640.075</v>
      </c>
      <c r="AR44" s="152">
        <v>1265.1968750000001</v>
      </c>
      <c r="AS44" s="152">
        <v>970.51175000000001</v>
      </c>
      <c r="AT44" s="177">
        <v>602.73699999999997</v>
      </c>
      <c r="AU44" s="152">
        <v>388.44603124999998</v>
      </c>
      <c r="AV44" s="152">
        <v>212.03909375000001</v>
      </c>
      <c r="AW44" s="177">
        <v>184.598078125</v>
      </c>
      <c r="AX44" s="177">
        <v>214.80796874999999</v>
      </c>
      <c r="AY44" s="152">
        <v>244.745</v>
      </c>
      <c r="AZ44" s="176">
        <v>650.79100000000005</v>
      </c>
      <c r="BA44" s="176">
        <v>952.87800000000004</v>
      </c>
      <c r="BB44" s="262">
        <v>1306.7705000000001</v>
      </c>
      <c r="BC44" s="336">
        <f>SUM(AQ44:BB44)</f>
        <v>8633.5962968749991</v>
      </c>
      <c r="BD44" s="174"/>
      <c r="BI44" s="218"/>
    </row>
    <row r="45" spans="2:64" s="173" customFormat="1" x14ac:dyDescent="0.2">
      <c r="B45" s="117" t="s">
        <v>63</v>
      </c>
      <c r="C45" s="175" t="s">
        <v>15</v>
      </c>
      <c r="D45" s="227">
        <v>319.90700000000004</v>
      </c>
      <c r="E45" s="227">
        <v>470.084</v>
      </c>
      <c r="F45" s="227">
        <v>220.77599999999998</v>
      </c>
      <c r="G45" s="228">
        <v>6.6509970703125001</v>
      </c>
      <c r="H45" s="227">
        <v>30.797976562499997</v>
      </c>
      <c r="I45" s="227">
        <v>0</v>
      </c>
      <c r="J45" s="228">
        <v>0</v>
      </c>
      <c r="K45" s="228">
        <v>1.4119999999999999</v>
      </c>
      <c r="L45" s="227">
        <v>0.64899999999999991</v>
      </c>
      <c r="M45" s="227">
        <v>9.6140000000000008</v>
      </c>
      <c r="N45" s="227">
        <v>128.48599999999999</v>
      </c>
      <c r="O45" s="227">
        <v>505.1049999999999</v>
      </c>
      <c r="P45" s="329">
        <f t="shared" si="80"/>
        <v>1693.4819736328122</v>
      </c>
      <c r="Q45" s="301">
        <v>577.01900000000001</v>
      </c>
      <c r="R45" s="153">
        <v>259.98200000000003</v>
      </c>
      <c r="S45" s="153">
        <v>222.25899999999999</v>
      </c>
      <c r="T45" s="177">
        <v>49.281000000000006</v>
      </c>
      <c r="U45" s="153">
        <v>40.119</v>
      </c>
      <c r="V45" s="153">
        <v>0</v>
      </c>
      <c r="W45" s="177">
        <v>0</v>
      </c>
      <c r="X45" s="177">
        <v>2.698</v>
      </c>
      <c r="Y45" s="153">
        <v>14.307</v>
      </c>
      <c r="Z45" s="153">
        <v>38.543144531249993</v>
      </c>
      <c r="AA45" s="153">
        <v>239.495</v>
      </c>
      <c r="AB45" s="153">
        <v>394.06599999999997</v>
      </c>
      <c r="AC45" s="338">
        <f t="shared" si="81"/>
        <v>1837.76914453125</v>
      </c>
      <c r="AD45" s="292">
        <v>318.10700000000003</v>
      </c>
      <c r="AE45" s="152">
        <v>290.51199999999994</v>
      </c>
      <c r="AF45" s="152">
        <v>145.38299999999998</v>
      </c>
      <c r="AG45" s="177">
        <v>17.79</v>
      </c>
      <c r="AH45" s="152">
        <v>0</v>
      </c>
      <c r="AI45" s="152">
        <v>0</v>
      </c>
      <c r="AJ45" s="177">
        <v>0</v>
      </c>
      <c r="AK45" s="177">
        <v>2.7</v>
      </c>
      <c r="AL45" s="152">
        <v>0</v>
      </c>
      <c r="AM45" s="152">
        <v>216.357</v>
      </c>
      <c r="AN45" s="152">
        <v>406.30300000000005</v>
      </c>
      <c r="AO45" s="152">
        <v>503.91900000000004</v>
      </c>
      <c r="AP45" s="338">
        <f t="shared" si="82"/>
        <v>1901.0710000000001</v>
      </c>
      <c r="AQ45" s="292">
        <v>626.26900000000001</v>
      </c>
      <c r="AR45" s="152">
        <v>397.90996875000002</v>
      </c>
      <c r="AS45" s="152">
        <v>99.366</v>
      </c>
      <c r="AT45" s="177">
        <v>88.656000000000006</v>
      </c>
      <c r="AU45" s="152">
        <v>40.051999999999992</v>
      </c>
      <c r="AV45" s="152">
        <v>0</v>
      </c>
      <c r="AW45" s="177">
        <v>0</v>
      </c>
      <c r="AX45" s="177">
        <v>1.8140000000000001</v>
      </c>
      <c r="AY45" s="152">
        <v>0</v>
      </c>
      <c r="AZ45" s="176">
        <v>191.58300000000003</v>
      </c>
      <c r="BA45" s="176">
        <v>214.73699999999999</v>
      </c>
      <c r="BB45" s="262">
        <v>443.173</v>
      </c>
      <c r="BC45" s="336">
        <f>SUM(AQ45:BB45)</f>
        <v>2103.5599687499998</v>
      </c>
      <c r="BD45" s="174"/>
      <c r="BI45" s="218"/>
    </row>
    <row r="46" spans="2:64" s="173" customFormat="1" x14ac:dyDescent="0.2">
      <c r="B46" s="117" t="s">
        <v>64</v>
      </c>
      <c r="C46" s="175" t="s">
        <v>15</v>
      </c>
      <c r="D46" s="227">
        <v>0</v>
      </c>
      <c r="E46" s="227">
        <v>0</v>
      </c>
      <c r="F46" s="227">
        <v>0</v>
      </c>
      <c r="G46" s="228">
        <v>0</v>
      </c>
      <c r="H46" s="227">
        <v>0</v>
      </c>
      <c r="I46" s="227">
        <v>0</v>
      </c>
      <c r="J46" s="228">
        <v>0</v>
      </c>
      <c r="K46" s="228">
        <v>0</v>
      </c>
      <c r="L46" s="227">
        <v>0</v>
      </c>
      <c r="M46" s="227">
        <v>0</v>
      </c>
      <c r="N46" s="227">
        <v>0</v>
      </c>
      <c r="O46" s="227">
        <v>0</v>
      </c>
      <c r="P46" s="329">
        <f t="shared" si="80"/>
        <v>0</v>
      </c>
      <c r="Q46" s="301">
        <v>0</v>
      </c>
      <c r="R46" s="153">
        <v>0</v>
      </c>
      <c r="S46" s="153">
        <v>0</v>
      </c>
      <c r="T46" s="177">
        <v>0</v>
      </c>
      <c r="U46" s="153">
        <v>0</v>
      </c>
      <c r="V46" s="153">
        <v>0</v>
      </c>
      <c r="W46" s="177">
        <v>0</v>
      </c>
      <c r="X46" s="177">
        <v>0</v>
      </c>
      <c r="Y46" s="153">
        <v>0</v>
      </c>
      <c r="Z46" s="153">
        <v>0</v>
      </c>
      <c r="AA46" s="153">
        <v>0</v>
      </c>
      <c r="AB46" s="153">
        <v>0</v>
      </c>
      <c r="AC46" s="338">
        <f t="shared" si="81"/>
        <v>0</v>
      </c>
      <c r="AD46" s="292">
        <v>0</v>
      </c>
      <c r="AE46" s="152">
        <v>0</v>
      </c>
      <c r="AF46" s="152">
        <v>0</v>
      </c>
      <c r="AG46" s="177">
        <v>0</v>
      </c>
      <c r="AH46" s="152">
        <v>0</v>
      </c>
      <c r="AI46" s="152">
        <v>0</v>
      </c>
      <c r="AJ46" s="177">
        <v>0</v>
      </c>
      <c r="AK46" s="177">
        <v>0</v>
      </c>
      <c r="AL46" s="152">
        <v>0</v>
      </c>
      <c r="AM46" s="152">
        <v>0</v>
      </c>
      <c r="AN46" s="152">
        <v>0</v>
      </c>
      <c r="AO46" s="152">
        <v>0</v>
      </c>
      <c r="AP46" s="338">
        <f t="shared" si="82"/>
        <v>0</v>
      </c>
      <c r="AQ46" s="292">
        <v>0</v>
      </c>
      <c r="AR46" s="152">
        <v>0</v>
      </c>
      <c r="AS46" s="152">
        <v>0</v>
      </c>
      <c r="AT46" s="177">
        <v>0</v>
      </c>
      <c r="AU46" s="152">
        <v>0</v>
      </c>
      <c r="AV46" s="152">
        <v>0</v>
      </c>
      <c r="AW46" s="177">
        <v>0</v>
      </c>
      <c r="AX46" s="177">
        <v>0</v>
      </c>
      <c r="AY46" s="152">
        <v>0</v>
      </c>
      <c r="AZ46" s="152">
        <v>0</v>
      </c>
      <c r="BA46" s="152">
        <v>0</v>
      </c>
      <c r="BB46" s="262">
        <v>0</v>
      </c>
      <c r="BC46" s="336">
        <f>SUM(AQ46:BB46)</f>
        <v>0</v>
      </c>
      <c r="BD46" s="174"/>
      <c r="BI46" s="218"/>
    </row>
    <row r="47" spans="2:64" s="173" customFormat="1" ht="18" customHeight="1" x14ac:dyDescent="0.2">
      <c r="B47" s="186" t="s">
        <v>65</v>
      </c>
      <c r="C47" s="175" t="s">
        <v>66</v>
      </c>
      <c r="D47" s="229">
        <v>756487.064453125</v>
      </c>
      <c r="E47" s="229">
        <v>781455.994140625</v>
      </c>
      <c r="F47" s="229">
        <v>768094.0078125</v>
      </c>
      <c r="G47" s="230">
        <v>596989.98046875</v>
      </c>
      <c r="H47" s="229">
        <v>427270.03125</v>
      </c>
      <c r="I47" s="229">
        <v>452389.0234375</v>
      </c>
      <c r="J47" s="230">
        <v>603284.52734375</v>
      </c>
      <c r="K47" s="230">
        <v>642460.9375</v>
      </c>
      <c r="L47" s="229">
        <v>641970.98046875</v>
      </c>
      <c r="M47" s="229">
        <v>629465.134765625</v>
      </c>
      <c r="N47" s="229">
        <v>635225.046875</v>
      </c>
      <c r="O47" s="229">
        <v>724406.0546875</v>
      </c>
      <c r="P47" s="329">
        <f t="shared" si="80"/>
        <v>7659498.783203125</v>
      </c>
      <c r="Q47" s="302">
        <v>685558.01171875</v>
      </c>
      <c r="R47" s="156">
        <v>623925.87109375</v>
      </c>
      <c r="S47" s="156">
        <v>721763.9609375</v>
      </c>
      <c r="T47" s="180">
        <v>700040.9375</v>
      </c>
      <c r="U47" s="156">
        <v>475550</v>
      </c>
      <c r="V47" s="156">
        <v>502035.03125</v>
      </c>
      <c r="W47" s="180">
        <v>499906.9375</v>
      </c>
      <c r="X47" s="180">
        <v>493975.03125</v>
      </c>
      <c r="Y47" s="156">
        <v>541276.9375</v>
      </c>
      <c r="Z47" s="156">
        <v>567637.9375</v>
      </c>
      <c r="AA47" s="156">
        <v>626151</v>
      </c>
      <c r="AB47" s="156">
        <v>672420.9921875</v>
      </c>
      <c r="AC47" s="338">
        <f t="shared" si="81"/>
        <v>7110242.6484375</v>
      </c>
      <c r="AD47" s="293">
        <v>814220</v>
      </c>
      <c r="AE47" s="155">
        <v>714780.01953125</v>
      </c>
      <c r="AF47" s="155">
        <v>673670.015625</v>
      </c>
      <c r="AG47" s="180">
        <v>558113.40234375</v>
      </c>
      <c r="AH47" s="155">
        <v>703437.375</v>
      </c>
      <c r="AI47" s="155">
        <v>556288.9453125</v>
      </c>
      <c r="AJ47" s="180">
        <v>597051.9921875</v>
      </c>
      <c r="AK47" s="180">
        <v>536989.9375</v>
      </c>
      <c r="AL47" s="155">
        <v>475318.9765625</v>
      </c>
      <c r="AM47" s="155">
        <v>497319.0078125</v>
      </c>
      <c r="AN47" s="155">
        <v>562007.99609375</v>
      </c>
      <c r="AO47" s="155">
        <v>708804.02734375</v>
      </c>
      <c r="AP47" s="338">
        <f t="shared" si="82"/>
        <v>7398001.6953125</v>
      </c>
      <c r="AQ47" s="293">
        <v>817191.98046875</v>
      </c>
      <c r="AR47" s="155">
        <v>800618.01953125</v>
      </c>
      <c r="AS47" s="155">
        <v>729557.96484375</v>
      </c>
      <c r="AT47" s="180">
        <v>478921.9375</v>
      </c>
      <c r="AU47" s="155">
        <v>492967.921875</v>
      </c>
      <c r="AV47" s="155">
        <v>538088.1015625</v>
      </c>
      <c r="AW47" s="180">
        <v>548462.0390625</v>
      </c>
      <c r="AX47" s="180">
        <v>461638.8125</v>
      </c>
      <c r="AY47" s="155">
        <v>475684.0546875</v>
      </c>
      <c r="AZ47" s="179">
        <v>507566.9921875</v>
      </c>
      <c r="BA47" s="179">
        <v>642138.046875</v>
      </c>
      <c r="BB47" s="263">
        <v>694194</v>
      </c>
      <c r="BC47" s="336">
        <f>SUM(AQ47:BB47)</f>
        <v>7187029.87109375</v>
      </c>
      <c r="BD47" s="174"/>
      <c r="BI47" s="218"/>
    </row>
    <row r="48" spans="2:64" s="173" customFormat="1" x14ac:dyDescent="0.2">
      <c r="B48" s="186" t="s">
        <v>67</v>
      </c>
      <c r="C48" s="175" t="s">
        <v>66</v>
      </c>
      <c r="D48" s="231">
        <v>680004</v>
      </c>
      <c r="E48" s="229">
        <v>615075</v>
      </c>
      <c r="F48" s="229">
        <v>634857</v>
      </c>
      <c r="G48" s="232">
        <v>461039</v>
      </c>
      <c r="H48" s="229">
        <v>208116</v>
      </c>
      <c r="I48" s="229">
        <v>132160</v>
      </c>
      <c r="J48" s="232">
        <v>111030</v>
      </c>
      <c r="K48" s="232">
        <v>147355</v>
      </c>
      <c r="L48" s="229">
        <v>288203</v>
      </c>
      <c r="M48" s="229">
        <v>463246</v>
      </c>
      <c r="N48" s="229">
        <v>524133</v>
      </c>
      <c r="O48" s="229">
        <v>594809</v>
      </c>
      <c r="P48" s="329">
        <f t="shared" si="80"/>
        <v>4860027</v>
      </c>
      <c r="Q48" s="303">
        <v>551221</v>
      </c>
      <c r="R48" s="156">
        <v>530071</v>
      </c>
      <c r="S48" s="156">
        <v>620430</v>
      </c>
      <c r="T48" s="233">
        <v>526320</v>
      </c>
      <c r="U48" s="156">
        <v>238545</v>
      </c>
      <c r="V48" s="156">
        <v>135363</v>
      </c>
      <c r="W48" s="233">
        <v>124237</v>
      </c>
      <c r="X48" s="233">
        <v>123719</v>
      </c>
      <c r="Y48" s="156">
        <v>247088</v>
      </c>
      <c r="Z48" s="156">
        <v>441285</v>
      </c>
      <c r="AA48" s="156">
        <v>537350</v>
      </c>
      <c r="AB48" s="156">
        <v>606230</v>
      </c>
      <c r="AC48" s="338">
        <f t="shared" si="81"/>
        <v>4681859</v>
      </c>
      <c r="AD48" s="294">
        <v>718495</v>
      </c>
      <c r="AE48" s="155">
        <v>608748</v>
      </c>
      <c r="AF48" s="155">
        <v>615960</v>
      </c>
      <c r="AG48" s="264">
        <v>377542</v>
      </c>
      <c r="AH48" s="155">
        <v>181756</v>
      </c>
      <c r="AI48" s="155">
        <v>145142</v>
      </c>
      <c r="AJ48" s="264">
        <v>124526</v>
      </c>
      <c r="AK48" s="264">
        <v>128783</v>
      </c>
      <c r="AL48" s="155">
        <v>160631</v>
      </c>
      <c r="AM48" s="155">
        <v>343570</v>
      </c>
      <c r="AN48" s="155">
        <v>450964</v>
      </c>
      <c r="AO48" s="155">
        <v>591049</v>
      </c>
      <c r="AP48" s="338">
        <f t="shared" si="82"/>
        <v>4447166</v>
      </c>
      <c r="AQ48" s="294">
        <v>651645</v>
      </c>
      <c r="AR48" s="155">
        <v>576243</v>
      </c>
      <c r="AS48" s="155">
        <v>585909</v>
      </c>
      <c r="AT48" s="264">
        <v>325029</v>
      </c>
      <c r="AU48" s="155">
        <v>214586</v>
      </c>
      <c r="AV48" s="155">
        <v>130348</v>
      </c>
      <c r="AW48" s="264">
        <v>113555</v>
      </c>
      <c r="AX48" s="264">
        <v>131318</v>
      </c>
      <c r="AY48" s="155">
        <v>150141</v>
      </c>
      <c r="AZ48" s="179">
        <v>296265</v>
      </c>
      <c r="BA48" s="179">
        <v>500051</v>
      </c>
      <c r="BB48" s="265">
        <v>567372</v>
      </c>
      <c r="BC48" s="336">
        <f>SUM(AQ48:BB48)</f>
        <v>4242462</v>
      </c>
      <c r="BD48" s="174"/>
    </row>
    <row r="49" spans="2:64" s="173" customFormat="1" x14ac:dyDescent="0.2">
      <c r="B49" s="117" t="s">
        <v>68</v>
      </c>
      <c r="C49" s="175" t="s">
        <v>43</v>
      </c>
      <c r="D49" s="227">
        <f>(D58-D50*D45-D53*(D47-D48)/1000*(1-D59)-D52*D48/1000*(1-D59))/(D44-D45)</f>
        <v>166.52832588864868</v>
      </c>
      <c r="E49" s="227">
        <f t="shared" ref="E49:O49" si="83">(E58-E50*E45-E53*(E47-E48)/1000*(1-E59)-E52*E48/1000*(1-E59))/(E44-E45)</f>
        <v>166.62264352856209</v>
      </c>
      <c r="F49" s="227">
        <f t="shared" si="83"/>
        <v>166.57732929861555</v>
      </c>
      <c r="G49" s="227">
        <f t="shared" si="83"/>
        <v>167.52322603288974</v>
      </c>
      <c r="H49" s="227">
        <f t="shared" si="83"/>
        <v>170.76716240360392</v>
      </c>
      <c r="I49" s="227">
        <f t="shared" si="83"/>
        <v>176.2239698519102</v>
      </c>
      <c r="J49" s="227">
        <f t="shared" si="83"/>
        <v>176.76508951414934</v>
      </c>
      <c r="K49" s="227">
        <f t="shared" si="83"/>
        <v>176.64564455098412</v>
      </c>
      <c r="L49" s="227">
        <f t="shared" si="83"/>
        <v>170.11526459455195</v>
      </c>
      <c r="M49" s="227">
        <f t="shared" si="83"/>
        <v>166.09166731721174</v>
      </c>
      <c r="N49" s="227">
        <f t="shared" si="83"/>
        <v>166.93055083034179</v>
      </c>
      <c r="O49" s="227">
        <f t="shared" si="83"/>
        <v>168.49108968483276</v>
      </c>
      <c r="P49" s="367" cm="1">
        <f t="array" ref="P49">SUMPRODUCT(D49:O49,D44:O44-D45:O45-D46:O46)/(P44-P45-P46)</f>
        <v>168.14467857206955</v>
      </c>
      <c r="Q49" s="368">
        <f>(Q58-Q50*Q45-Q53*(Q47-Q48)/1000*(1-Q59)-Q52*Q48/1000*(1-Q59))/(Q44-Q45)</f>
        <v>170.24574383320328</v>
      </c>
      <c r="R49" s="369">
        <f t="shared" ref="R49:AB49" si="84">(R58-R50*R45-R53*(R47-R48)/1000*(1-R59)-R52*R48/1000*(1-R59))/(R44-R45)</f>
        <v>169.17046880257803</v>
      </c>
      <c r="S49" s="369">
        <f t="shared" si="84"/>
        <v>167.65098114053939</v>
      </c>
      <c r="T49" s="369">
        <f t="shared" si="84"/>
        <v>168.21369695409629</v>
      </c>
      <c r="U49" s="369">
        <f t="shared" si="84"/>
        <v>170.95125704423046</v>
      </c>
      <c r="V49" s="369">
        <f t="shared" si="84"/>
        <v>172.54863207413544</v>
      </c>
      <c r="W49" s="369">
        <f t="shared" si="84"/>
        <v>175.36830023144097</v>
      </c>
      <c r="X49" s="369">
        <f t="shared" si="84"/>
        <v>174.89410404023806</v>
      </c>
      <c r="Y49" s="369">
        <f t="shared" si="84"/>
        <v>171.39238611777139</v>
      </c>
      <c r="Z49" s="369">
        <f t="shared" si="84"/>
        <v>167.44169670802691</v>
      </c>
      <c r="AA49" s="369">
        <f t="shared" si="84"/>
        <v>168.29631929257511</v>
      </c>
      <c r="AB49" s="369">
        <f t="shared" si="84"/>
        <v>167.65464443603915</v>
      </c>
      <c r="AC49" s="65">
        <f>SUMPRODUCT(Q49:AB49,Q44:AB44-Q45:AB45-Q46:AB46)/(AC44-AC45-AC46)</f>
        <v>169.18232431787831</v>
      </c>
      <c r="AD49" s="370">
        <f>(AD58-AD50*AD45-AD53*(AD47-AD48)/1000*(1-AD59)-AD52*AD48/1000*(1-AD59))/(AD44-AD45)</f>
        <v>167.95027148502453</v>
      </c>
      <c r="AE49" s="171">
        <f t="shared" ref="AE49:AO49" si="85">(AE58-AE50*AE45-AE53*(AE47-AE48)/1000*(1-AE59)-AE52*AE48/1000*(1-AE59))/(AE44-AE45)</f>
        <v>167.51317719449514</v>
      </c>
      <c r="AF49" s="171">
        <f t="shared" si="85"/>
        <v>166.50971661871182</v>
      </c>
      <c r="AG49" s="171">
        <f t="shared" si="85"/>
        <v>169.29678625913738</v>
      </c>
      <c r="AH49" s="171">
        <f t="shared" si="85"/>
        <v>177.54879469994367</v>
      </c>
      <c r="AI49" s="171">
        <f t="shared" si="85"/>
        <v>177.01302726516616</v>
      </c>
      <c r="AJ49" s="171">
        <f t="shared" si="85"/>
        <v>178.21794264847321</v>
      </c>
      <c r="AK49" s="171">
        <f t="shared" si="85"/>
        <v>177.53147710559514</v>
      </c>
      <c r="AL49" s="171">
        <f t="shared" si="85"/>
        <v>176.45730167811993</v>
      </c>
      <c r="AM49" s="171">
        <f t="shared" si="85"/>
        <v>172.56370796689606</v>
      </c>
      <c r="AN49" s="171">
        <f t="shared" si="85"/>
        <v>171.47142044253746</v>
      </c>
      <c r="AO49" s="171">
        <f t="shared" si="85"/>
        <v>171.82996090185867</v>
      </c>
      <c r="AP49" s="65">
        <f>SUMPRODUCT(AD49:AO49,AD44:AO44-AD45:AO45)/(AP44-AP45)</f>
        <v>170.67160458621373</v>
      </c>
      <c r="AQ49" s="370">
        <v>169.2148258004201</v>
      </c>
      <c r="AR49" s="171">
        <v>167.92481877117135</v>
      </c>
      <c r="AS49" s="171">
        <v>165.2215002177569</v>
      </c>
      <c r="AT49" s="171">
        <v>167.60201136884922</v>
      </c>
      <c r="AU49" s="171">
        <v>175.20107224426863</v>
      </c>
      <c r="AV49" s="171">
        <v>178.95753898168121</v>
      </c>
      <c r="AW49" s="171">
        <v>177.73206827355105</v>
      </c>
      <c r="AX49" s="171">
        <v>178.28209965479576</v>
      </c>
      <c r="AY49" s="171">
        <v>175.03931076374838</v>
      </c>
      <c r="AZ49" s="171">
        <v>171.21217620279185</v>
      </c>
      <c r="BA49" s="171">
        <v>167.87441674023597</v>
      </c>
      <c r="BB49" s="171">
        <v>168.0806162593106</v>
      </c>
      <c r="BC49" s="66">
        <f>SUMPRODUCT(AQ49:BB49,AQ44:BB44-AQ45:BB45-AQ46:BB46)/(BC44-BC45-BC46)</f>
        <v>169.61330125839058</v>
      </c>
      <c r="BD49" s="174"/>
    </row>
    <row r="50" spans="2:64" s="173" customFormat="1" x14ac:dyDescent="0.2">
      <c r="B50" s="117" t="s">
        <v>69</v>
      </c>
      <c r="C50" s="175" t="s">
        <v>43</v>
      </c>
      <c r="D50" s="227">
        <v>154.01663608486217</v>
      </c>
      <c r="E50" s="227">
        <v>153.77038997285592</v>
      </c>
      <c r="F50" s="227">
        <v>153.76671377323621</v>
      </c>
      <c r="G50" s="228">
        <v>152.758983611487</v>
      </c>
      <c r="H50" s="227">
        <v>153.12682641729984</v>
      </c>
      <c r="I50" s="227">
        <v>0</v>
      </c>
      <c r="J50" s="227">
        <v>0</v>
      </c>
      <c r="K50" s="227">
        <v>2.0611777943862398E-11</v>
      </c>
      <c r="L50" s="227">
        <v>154.08320493066256</v>
      </c>
      <c r="M50" s="227">
        <v>152.58997295610567</v>
      </c>
      <c r="N50" s="227">
        <v>153.82998925953024</v>
      </c>
      <c r="O50" s="227">
        <v>153.6789380425852</v>
      </c>
      <c r="P50" s="335">
        <f>SUMPRODUCT(D50:O50,D45:O45)/P45</f>
        <v>153.64320377464489</v>
      </c>
      <c r="Q50" s="368">
        <v>153.56686694892196</v>
      </c>
      <c r="R50" s="369">
        <v>153.57986322129992</v>
      </c>
      <c r="S50" s="369">
        <v>153.31212684300749</v>
      </c>
      <c r="T50" s="376">
        <v>152.83780767435726</v>
      </c>
      <c r="U50" s="369">
        <v>153.79246740945686</v>
      </c>
      <c r="V50" s="369">
        <v>0</v>
      </c>
      <c r="W50" s="369">
        <v>0</v>
      </c>
      <c r="X50" s="369">
        <v>150.48183839881395</v>
      </c>
      <c r="Y50" s="369">
        <v>154.53973579366743</v>
      </c>
      <c r="Z50" s="369">
        <v>152.55688451858964</v>
      </c>
      <c r="AA50" s="369">
        <v>153.28086181339901</v>
      </c>
      <c r="AB50" s="369">
        <v>153.34994645566988</v>
      </c>
      <c r="AC50" s="340">
        <f>SUMPRODUCT(Q50:AB50,Q45:AB45)/AC45</f>
        <v>153.42134940520697</v>
      </c>
      <c r="AD50" s="370">
        <v>153.97020499391712</v>
      </c>
      <c r="AE50" s="171">
        <v>153.56680619045</v>
      </c>
      <c r="AF50" s="171">
        <v>153.13344751449623</v>
      </c>
      <c r="AG50" s="380">
        <v>153.17594154019113</v>
      </c>
      <c r="AH50" s="171">
        <v>0</v>
      </c>
      <c r="AI50" s="171">
        <v>0</v>
      </c>
      <c r="AJ50" s="171">
        <v>0</v>
      </c>
      <c r="AK50" s="171">
        <v>152.2222222222222</v>
      </c>
      <c r="AL50" s="171">
        <v>0</v>
      </c>
      <c r="AM50" s="171">
        <v>151.91096197488412</v>
      </c>
      <c r="AN50" s="171">
        <v>153.63164928636999</v>
      </c>
      <c r="AO50" s="171">
        <v>153.39965351574358</v>
      </c>
      <c r="AP50" s="340">
        <f>SUMPRODUCT(AD50:AO50,AD45:AO45)/AP45</f>
        <v>153.37670186963032</v>
      </c>
      <c r="AQ50" s="370">
        <v>153.48516372357565</v>
      </c>
      <c r="AR50" s="171">
        <v>153.67797944871165</v>
      </c>
      <c r="AS50" s="171">
        <v>153.46295513555944</v>
      </c>
      <c r="AT50" s="380">
        <v>155.49990976358058</v>
      </c>
      <c r="AU50" s="171">
        <v>152.95116348746632</v>
      </c>
      <c r="AV50" s="171">
        <v>0</v>
      </c>
      <c r="AW50" s="171">
        <v>0</v>
      </c>
      <c r="AX50" s="171">
        <v>150.49614112458656</v>
      </c>
      <c r="AY50" s="171">
        <v>0</v>
      </c>
      <c r="AZ50" s="272">
        <v>152.44567628651811</v>
      </c>
      <c r="BA50" s="272">
        <v>152.06042740654848</v>
      </c>
      <c r="BB50" s="379">
        <v>154.32122444282481</v>
      </c>
      <c r="BC50" s="66">
        <f>SUMPRODUCT(AQ45:BB45,AQ50:BB50)/BC45</f>
        <v>153.52878206363235</v>
      </c>
      <c r="BD50" s="174"/>
    </row>
    <row r="51" spans="2:64" s="223" customFormat="1" ht="33" customHeight="1" x14ac:dyDescent="0.25">
      <c r="B51" s="181" t="s">
        <v>70</v>
      </c>
      <c r="C51" s="175" t="s">
        <v>43</v>
      </c>
      <c r="D51" s="227">
        <v>166.52832588864868</v>
      </c>
      <c r="E51" s="227">
        <v>166.62264352856209</v>
      </c>
      <c r="F51" s="227">
        <v>166.57732929861555</v>
      </c>
      <c r="G51" s="228">
        <v>167.52322603288974</v>
      </c>
      <c r="H51" s="227">
        <v>170.76716240360392</v>
      </c>
      <c r="I51" s="227">
        <v>176.2239698519102</v>
      </c>
      <c r="J51" s="227">
        <v>176.76508951414934</v>
      </c>
      <c r="K51" s="228">
        <v>176.64564455098412</v>
      </c>
      <c r="L51" s="227">
        <v>170.11526459455195</v>
      </c>
      <c r="M51" s="227">
        <v>166.09166731721174</v>
      </c>
      <c r="N51" s="227">
        <v>166.93055083034179</v>
      </c>
      <c r="O51" s="227">
        <v>168.49108968483276</v>
      </c>
      <c r="P51" s="330">
        <f>SUMPRODUCT(D51:O51,D44:O44-D45:O45-D46:O46)/(P44-P45-P46)</f>
        <v>168.14467857206955</v>
      </c>
      <c r="Q51" s="301">
        <v>170.24574383320328</v>
      </c>
      <c r="R51" s="153">
        <v>169.17046880257803</v>
      </c>
      <c r="S51" s="153">
        <v>167.65098114053939</v>
      </c>
      <c r="T51" s="177">
        <v>168.21369695409629</v>
      </c>
      <c r="U51" s="153">
        <v>170.95125704423046</v>
      </c>
      <c r="V51" s="153">
        <v>172.54863207413544</v>
      </c>
      <c r="W51" s="153">
        <v>175.36830023144097</v>
      </c>
      <c r="X51" s="177">
        <v>174.89410404023806</v>
      </c>
      <c r="Y51" s="153">
        <v>171.39238611777139</v>
      </c>
      <c r="Z51" s="153">
        <v>167.44169670802691</v>
      </c>
      <c r="AA51" s="153">
        <v>168.29631929257511</v>
      </c>
      <c r="AB51" s="153">
        <v>167.65464443603915</v>
      </c>
      <c r="AC51" s="339">
        <f>SUMPRODUCT(Q51:AB51,Q44:AB44-Q45:AB45-Q46:AB46)/(AC44-AC45-AC46)</f>
        <v>169.18232431787831</v>
      </c>
      <c r="AD51" s="292">
        <v>167.95027148502453</v>
      </c>
      <c r="AE51" s="152">
        <v>167.51317719449514</v>
      </c>
      <c r="AF51" s="152">
        <v>166.50971661871182</v>
      </c>
      <c r="AG51" s="177">
        <v>169.29678625913738</v>
      </c>
      <c r="AH51" s="152">
        <v>177.54879469994367</v>
      </c>
      <c r="AI51" s="152">
        <v>177.01302726516616</v>
      </c>
      <c r="AJ51" s="152">
        <v>178.21794264847321</v>
      </c>
      <c r="AK51" s="177">
        <v>177.53147710559514</v>
      </c>
      <c r="AL51" s="152">
        <v>176.45730167811993</v>
      </c>
      <c r="AM51" s="152">
        <v>172.56370796689606</v>
      </c>
      <c r="AN51" s="152">
        <v>171.47142044253746</v>
      </c>
      <c r="AO51" s="152">
        <v>171.82996090185867</v>
      </c>
      <c r="AP51" s="337">
        <f>SUMPRODUCT(AD51:AO51,AD44:AO44-AD45:AO45-AD46:AO46)/(AP44-AP45-AP46)</f>
        <v>170.67160458621373</v>
      </c>
      <c r="AQ51" s="292">
        <v>169.2148258004201</v>
      </c>
      <c r="AR51" s="152">
        <v>167.92481877117135</v>
      </c>
      <c r="AS51" s="152">
        <v>165.2215002177569</v>
      </c>
      <c r="AT51" s="177">
        <v>167.60201136884922</v>
      </c>
      <c r="AU51" s="152">
        <v>175.20107224426863</v>
      </c>
      <c r="AV51" s="152">
        <v>178.95753898168121</v>
      </c>
      <c r="AW51" s="152">
        <v>177.73206827355105</v>
      </c>
      <c r="AX51" s="177">
        <v>178.28209965479576</v>
      </c>
      <c r="AY51" s="152">
        <v>175.03931076374838</v>
      </c>
      <c r="AZ51" s="176">
        <v>171.21217620279185</v>
      </c>
      <c r="BA51" s="176">
        <v>167.87441674023597</v>
      </c>
      <c r="BB51" s="262">
        <v>168.0806162593106</v>
      </c>
      <c r="BC51" s="337">
        <f>SUMPRODUCT(AQ51:BB51,AQ44:BB44-AQ45:BB45-AQ46:BB46)/(BC44-BC45-BC46)</f>
        <v>169.61330125839058</v>
      </c>
      <c r="BD51" s="182"/>
    </row>
    <row r="52" spans="2:64" s="223" customFormat="1" x14ac:dyDescent="0.25">
      <c r="B52" s="181" t="s">
        <v>71</v>
      </c>
      <c r="C52" s="175" t="s">
        <v>72</v>
      </c>
      <c r="D52" s="234">
        <v>153.81864082281302</v>
      </c>
      <c r="E52" s="234">
        <v>154.66017310063671</v>
      </c>
      <c r="F52" s="235">
        <v>154.33088716795564</v>
      </c>
      <c r="G52" s="228">
        <v>154.89558415849098</v>
      </c>
      <c r="H52" s="234">
        <v>155.2718636842244</v>
      </c>
      <c r="I52" s="234">
        <v>154.96307620173528</v>
      </c>
      <c r="J52" s="234">
        <v>156.49202237202306</v>
      </c>
      <c r="K52" s="234">
        <v>156.04553624811763</v>
      </c>
      <c r="L52" s="234">
        <v>156.04577000532009</v>
      </c>
      <c r="M52" s="234">
        <v>153.02535347833248</v>
      </c>
      <c r="N52" s="234">
        <v>153.01107111819744</v>
      </c>
      <c r="O52" s="234">
        <v>154.39135353904427</v>
      </c>
      <c r="P52" s="374">
        <f>IF(P48=0,0,SUMPRODUCT(D52:O52,D48:O48)/P48)</f>
        <v>154.35562089070379</v>
      </c>
      <c r="Q52" s="375">
        <v>156.2442244803357</v>
      </c>
      <c r="R52" s="236">
        <v>155.75789914219089</v>
      </c>
      <c r="S52" s="236">
        <v>154.64626800744134</v>
      </c>
      <c r="T52" s="376">
        <v>154.75207294900721</v>
      </c>
      <c r="U52" s="236">
        <v>154.9734664784103</v>
      </c>
      <c r="V52" s="236">
        <v>155.28945225056836</v>
      </c>
      <c r="W52" s="236">
        <v>154.53672466103231</v>
      </c>
      <c r="X52" s="236">
        <v>155.18398058275045</v>
      </c>
      <c r="Y52" s="236">
        <v>154.72858741174014</v>
      </c>
      <c r="Z52" s="236">
        <v>154.29322278762157</v>
      </c>
      <c r="AA52" s="236">
        <v>155.00851249073017</v>
      </c>
      <c r="AB52" s="236">
        <v>155.11934506298533</v>
      </c>
      <c r="AC52" s="372">
        <f>IF(AC48=0,0,SUMPRODUCT(Q52:AB52,Q48:AB48)/AC48)</f>
        <v>155.09262507115758</v>
      </c>
      <c r="AD52" s="377">
        <v>154.32365062187782</v>
      </c>
      <c r="AE52" s="183">
        <v>154.76618986143757</v>
      </c>
      <c r="AF52" s="183">
        <v>154.61684330115372</v>
      </c>
      <c r="AG52" s="376">
        <v>154.92829850506467</v>
      </c>
      <c r="AH52" s="183">
        <v>157.58089708852029</v>
      </c>
      <c r="AI52" s="183">
        <v>157.1937698173401</v>
      </c>
      <c r="AJ52" s="183">
        <v>157.33181056972342</v>
      </c>
      <c r="AK52" s="183">
        <v>157.22071987509628</v>
      </c>
      <c r="AL52" s="183">
        <v>157.2973195159841</v>
      </c>
      <c r="AM52" s="183">
        <v>156.59452926195067</v>
      </c>
      <c r="AN52" s="183">
        <v>156.27675837566164</v>
      </c>
      <c r="AO52" s="183">
        <v>156.63492964250204</v>
      </c>
      <c r="AP52" s="372">
        <f>IF(AP48=0,0,SUMPRODUCT(AD52:AO52,AD48:AO48)/AP48)</f>
        <v>155.65917211053895</v>
      </c>
      <c r="AQ52" s="370">
        <v>155.20286740909776</v>
      </c>
      <c r="AR52" s="171">
        <v>155.14804652838035</v>
      </c>
      <c r="AS52" s="171">
        <v>153.20742155576505</v>
      </c>
      <c r="AT52" s="376">
        <v>156.11001081759053</v>
      </c>
      <c r="AU52" s="171">
        <v>154.22413182940534</v>
      </c>
      <c r="AV52" s="171">
        <v>155.49969889000337</v>
      </c>
      <c r="AW52" s="171">
        <v>156.25598259181004</v>
      </c>
      <c r="AX52" s="171">
        <v>155.95204037547069</v>
      </c>
      <c r="AY52" s="171">
        <v>156.576849220968</v>
      </c>
      <c r="AZ52" s="378">
        <v>154.22749708392837</v>
      </c>
      <c r="BA52" s="378">
        <v>154.2284893023656</v>
      </c>
      <c r="BB52" s="379">
        <v>154.35057722134377</v>
      </c>
      <c r="BC52" s="371">
        <f>IF(BC48=0,0,SUMPRODUCT(AQ52:BB52,AQ48:BB48)/BC48)</f>
        <v>154.75201162945507</v>
      </c>
      <c r="BD52" s="182"/>
    </row>
    <row r="53" spans="2:64" s="223" customFormat="1" x14ac:dyDescent="0.25">
      <c r="B53" s="181" t="s">
        <v>73</v>
      </c>
      <c r="C53" s="175" t="s">
        <v>72</v>
      </c>
      <c r="D53" s="234">
        <v>632.68246672912937</v>
      </c>
      <c r="E53" s="234">
        <v>466.74205969908508</v>
      </c>
      <c r="F53" s="235">
        <v>463.81720224256105</v>
      </c>
      <c r="G53" s="228">
        <v>439.72716062071743</v>
      </c>
      <c r="H53" s="234">
        <v>394.55536582375152</v>
      </c>
      <c r="I53" s="234">
        <v>383.48062864531556</v>
      </c>
      <c r="J53" s="234">
        <v>386.46914665819975</v>
      </c>
      <c r="K53" s="234">
        <v>387.04344092144265</v>
      </c>
      <c r="L53" s="234">
        <v>380.01291291971307</v>
      </c>
      <c r="M53" s="234">
        <v>395.54146003327378</v>
      </c>
      <c r="N53" s="234">
        <v>467.80932401236919</v>
      </c>
      <c r="O53" s="234">
        <v>533.88079208652528</v>
      </c>
      <c r="P53" s="374">
        <f>IF((P47-P48)=0,0,SUMPRODUCT(D53:O53,(D47:O47-D48:O48))/(P47-P48))</f>
        <v>414.40189399804871</v>
      </c>
      <c r="Q53" s="375">
        <v>515.06227600722411</v>
      </c>
      <c r="R53" s="236">
        <v>515.11939705681152</v>
      </c>
      <c r="S53" s="236">
        <v>543.88734974567683</v>
      </c>
      <c r="T53" s="376">
        <v>435.06509321694466</v>
      </c>
      <c r="U53" s="236">
        <v>385.00523299291461</v>
      </c>
      <c r="V53" s="236">
        <v>384.97168416821773</v>
      </c>
      <c r="W53" s="236">
        <v>385.66599339233795</v>
      </c>
      <c r="X53" s="236">
        <v>389.98304183053864</v>
      </c>
      <c r="Y53" s="236">
        <v>383.18962465095308</v>
      </c>
      <c r="Z53" s="236">
        <v>427.39152019517309</v>
      </c>
      <c r="AA53" s="236">
        <v>489.26700575364151</v>
      </c>
      <c r="AB53" s="236">
        <v>545.58257651879194</v>
      </c>
      <c r="AC53" s="372">
        <f>IF((AC47-AC48)=0,0,SUMPRODUCT(Q53:AB53,(Q47:AB47-Q48:AB48))/(AC47-AC48))</f>
        <v>418.47100610114865</v>
      </c>
      <c r="AD53" s="377">
        <v>596.67471108814186</v>
      </c>
      <c r="AE53" s="183">
        <v>496.49997298696593</v>
      </c>
      <c r="AF53" s="183">
        <v>657.37135574045999</v>
      </c>
      <c r="AG53" s="376">
        <v>417.93421994348938</v>
      </c>
      <c r="AH53" s="183">
        <v>385.47133613117961</v>
      </c>
      <c r="AI53" s="183">
        <v>397.77710614321876</v>
      </c>
      <c r="AJ53" s="183">
        <v>406.09045947841963</v>
      </c>
      <c r="AK53" s="183">
        <v>403.92535617348193</v>
      </c>
      <c r="AL53" s="183">
        <v>415.39198132573574</v>
      </c>
      <c r="AM53" s="183">
        <v>461.94165518035692</v>
      </c>
      <c r="AN53" s="183">
        <v>554.46540268896058</v>
      </c>
      <c r="AO53" s="183">
        <v>581.4345298727111</v>
      </c>
      <c r="AP53" s="373">
        <f>IF((AP47-AP48)=0,0,SUMPRODUCT(AD53:AO53,(AD47:AO47-AD48:AO48))/(AP47-AP48))</f>
        <v>432.54044196680826</v>
      </c>
      <c r="AQ53" s="370">
        <v>555.45846886401523</v>
      </c>
      <c r="AR53" s="171">
        <v>422.01182486033639</v>
      </c>
      <c r="AS53" s="171">
        <v>450.9822506152874</v>
      </c>
      <c r="AT53" s="376">
        <v>407.24823086950596</v>
      </c>
      <c r="AU53" s="171">
        <v>406.22372678327702</v>
      </c>
      <c r="AV53" s="171">
        <v>402.02580309363702</v>
      </c>
      <c r="AW53" s="171">
        <v>392.76230770506925</v>
      </c>
      <c r="AX53" s="171">
        <v>399.7816928718903</v>
      </c>
      <c r="AY53" s="171">
        <v>402.07286207174985</v>
      </c>
      <c r="AZ53" s="378">
        <v>400.90257335071288</v>
      </c>
      <c r="BA53" s="378">
        <v>461.47657789146149</v>
      </c>
      <c r="BB53" s="379">
        <v>505.42229178623148</v>
      </c>
      <c r="BC53" s="371">
        <f>IF((BC47-BC48)=0,0,SUMPRODUCT(AQ53:BB53,(AQ47:BB47-AQ48:BB48))/(BC47-BC48))</f>
        <v>420.85967709260535</v>
      </c>
      <c r="BD53" s="182"/>
    </row>
    <row r="54" spans="2:64" s="223" customFormat="1" ht="18" customHeight="1" x14ac:dyDescent="0.25">
      <c r="B54" s="165" t="s">
        <v>74</v>
      </c>
      <c r="C54" s="206" t="s">
        <v>75</v>
      </c>
      <c r="D54" s="234">
        <f>D48/(D44-D45-D46)</f>
        <v>664.7018976150049</v>
      </c>
      <c r="E54" s="234">
        <f t="shared" ref="E54:O54" si="86">E48/(E44-E45-E46)</f>
        <v>637.76359949285836</v>
      </c>
      <c r="F54" s="234">
        <f t="shared" si="86"/>
        <v>693.23359440549132</v>
      </c>
      <c r="G54" s="234">
        <f t="shared" si="86"/>
        <v>686.61644636931578</v>
      </c>
      <c r="H54" s="234">
        <f t="shared" si="86"/>
        <v>647.72506033355444</v>
      </c>
      <c r="I54" s="234">
        <f t="shared" si="86"/>
        <v>631.02202150651226</v>
      </c>
      <c r="J54" s="234">
        <f t="shared" si="86"/>
        <v>605.4110865087315</v>
      </c>
      <c r="K54" s="234">
        <f t="shared" si="86"/>
        <v>609.09364871684818</v>
      </c>
      <c r="L54" s="235">
        <f t="shared" si="86"/>
        <v>643.02033458128255</v>
      </c>
      <c r="M54" s="235">
        <f t="shared" si="86"/>
        <v>657.3877109654494</v>
      </c>
      <c r="N54" s="234">
        <f t="shared" si="86"/>
        <v>667.12785239341383</v>
      </c>
      <c r="O54" s="234">
        <f t="shared" si="86"/>
        <v>645.50213877679028</v>
      </c>
      <c r="P54" s="329">
        <f t="shared" ref="P54" si="87">IF((P44-P45-P46)=0,0,P48/(P44-P45-P46))</f>
        <v>657.5809630233523</v>
      </c>
      <c r="Q54" s="304">
        <f>Q48/(Q44-Q45-Q46)</f>
        <v>678.14968273689146</v>
      </c>
      <c r="R54" s="161">
        <f t="shared" ref="R54:AB54" si="88">R48/(R44-R45-R46)</f>
        <v>663.08036192458303</v>
      </c>
      <c r="S54" s="161">
        <f t="shared" si="88"/>
        <v>688.87756359651326</v>
      </c>
      <c r="T54" s="161">
        <f t="shared" si="88"/>
        <v>718.65111594149585</v>
      </c>
      <c r="U54" s="161">
        <f t="shared" si="88"/>
        <v>620.06124061635717</v>
      </c>
      <c r="V54" s="161">
        <f t="shared" si="88"/>
        <v>643.91425161931215</v>
      </c>
      <c r="W54" s="161">
        <f t="shared" si="88"/>
        <v>635.91924899931405</v>
      </c>
      <c r="X54" s="161">
        <f t="shared" si="88"/>
        <v>652.56423104715986</v>
      </c>
      <c r="Y54" s="236">
        <f t="shared" si="88"/>
        <v>657.71569118069829</v>
      </c>
      <c r="Z54" s="236">
        <f t="shared" si="88"/>
        <v>678.12187552409432</v>
      </c>
      <c r="AA54" s="161">
        <f t="shared" si="88"/>
        <v>672.66201910017139</v>
      </c>
      <c r="AB54" s="161">
        <f t="shared" si="88"/>
        <v>645.06209293244001</v>
      </c>
      <c r="AC54" s="340">
        <f>IF((AC44-AC45-AC46)=0,0,AC48/(AC44-AC45-AC46))</f>
        <v>669.77481368576184</v>
      </c>
      <c r="AD54" s="295">
        <f>AD48/(AD44-AD45-AD46)</f>
        <v>680.72110515390466</v>
      </c>
      <c r="AE54" s="159">
        <f t="shared" ref="AE54:AO54" si="89">AE48/(AE44-AE45-AE46)</f>
        <v>663.63817728109677</v>
      </c>
      <c r="AF54" s="159">
        <f t="shared" si="89"/>
        <v>676.90524867786803</v>
      </c>
      <c r="AG54" s="159">
        <f t="shared" si="89"/>
        <v>661.50596104973692</v>
      </c>
      <c r="AH54" s="159">
        <f t="shared" si="89"/>
        <v>635.0974541032756</v>
      </c>
      <c r="AI54" s="159">
        <f t="shared" si="89"/>
        <v>634.29262497901129</v>
      </c>
      <c r="AJ54" s="159">
        <f t="shared" si="89"/>
        <v>614.06068716364894</v>
      </c>
      <c r="AK54" s="159">
        <f t="shared" si="89"/>
        <v>636.19762459601384</v>
      </c>
      <c r="AL54" s="183">
        <f t="shared" si="89"/>
        <v>636.88375744407529</v>
      </c>
      <c r="AM54" s="183">
        <f t="shared" si="89"/>
        <v>654.34644632286029</v>
      </c>
      <c r="AN54" s="159">
        <f t="shared" si="89"/>
        <v>686.41536810345303</v>
      </c>
      <c r="AO54" s="159">
        <f t="shared" si="89"/>
        <v>667.93773381356459</v>
      </c>
      <c r="AP54" s="340">
        <f>IF((AP44-AP45-AP46)=0,0,AP48/(AP44-AP45-AP46))</f>
        <v>664.46553088238261</v>
      </c>
      <c r="AQ54" s="292">
        <v>642.77090488712827</v>
      </c>
      <c r="AR54" s="152">
        <v>664.42026951793378</v>
      </c>
      <c r="AS54" s="152">
        <v>672.5728731386223</v>
      </c>
      <c r="AT54" s="152">
        <v>632.25250495544492</v>
      </c>
      <c r="AU54" s="152">
        <v>615.92903652823418</v>
      </c>
      <c r="AV54" s="152">
        <v>614.7356965866112</v>
      </c>
      <c r="AW54" s="152">
        <v>615.14724938309814</v>
      </c>
      <c r="AX54" s="152">
        <v>616.53388953061608</v>
      </c>
      <c r="AY54" s="171">
        <v>613.45890620850275</v>
      </c>
      <c r="AZ54" s="171">
        <v>645.16515391717905</v>
      </c>
      <c r="BA54" s="171">
        <v>677.44644993300733</v>
      </c>
      <c r="BB54" s="171">
        <v>656.98661702934521</v>
      </c>
      <c r="BC54" s="66">
        <f t="shared" ref="BC54" si="90">BC48/(BC44-BC45-BC46)</f>
        <v>649.6842876245006</v>
      </c>
      <c r="BD54" s="182"/>
    </row>
    <row r="55" spans="2:64" s="173" customFormat="1" x14ac:dyDescent="0.2">
      <c r="B55" s="117" t="s">
        <v>76</v>
      </c>
      <c r="C55" s="175" t="s">
        <v>77</v>
      </c>
      <c r="D55" s="144">
        <f>D45/D44</f>
        <v>0.23821604732346038</v>
      </c>
      <c r="E55" s="144">
        <f t="shared" ref="E55:M55" si="91">E45/E44</f>
        <v>0.32769685092544748</v>
      </c>
      <c r="F55" s="144">
        <f t="shared" si="91"/>
        <v>0.19424813872038985</v>
      </c>
      <c r="G55" s="144">
        <f t="shared" si="91"/>
        <v>9.8080503104280257E-3</v>
      </c>
      <c r="H55" s="144">
        <f t="shared" si="91"/>
        <v>8.7469161677789328E-2</v>
      </c>
      <c r="I55" s="144">
        <f t="shared" si="91"/>
        <v>0</v>
      </c>
      <c r="J55" s="144">
        <f t="shared" si="91"/>
        <v>0</v>
      </c>
      <c r="K55" s="144">
        <f t="shared" si="91"/>
        <v>5.8026515436088192E-3</v>
      </c>
      <c r="L55" s="144">
        <f t="shared" si="91"/>
        <v>1.4459141229494863E-3</v>
      </c>
      <c r="M55" s="144">
        <f t="shared" si="91"/>
        <v>1.3459500399697042E-2</v>
      </c>
      <c r="N55" s="144">
        <f>N45/N44</f>
        <v>0.14055365577776754</v>
      </c>
      <c r="O55" s="144">
        <f>O45/O44</f>
        <v>0.35406902402498575</v>
      </c>
      <c r="P55" s="331">
        <f t="shared" ref="P55" si="92">IF(P44=0,0,P45/P44)</f>
        <v>0.18641961175917235</v>
      </c>
      <c r="Q55" s="305">
        <f>Q45/Q44</f>
        <v>0.41516642220081501</v>
      </c>
      <c r="R55" s="289">
        <f t="shared" ref="R55:Z55" si="93">R45/R44</f>
        <v>0.24540752327609633</v>
      </c>
      <c r="S55" s="289">
        <f t="shared" si="93"/>
        <v>0.19793338308555186</v>
      </c>
      <c r="T55" s="289">
        <f t="shared" si="93"/>
        <v>6.3047152712972329E-2</v>
      </c>
      <c r="U55" s="289">
        <f t="shared" si="93"/>
        <v>9.4435198937930606E-2</v>
      </c>
      <c r="V55" s="289">
        <f t="shared" si="93"/>
        <v>0</v>
      </c>
      <c r="W55" s="289">
        <f t="shared" si="93"/>
        <v>0</v>
      </c>
      <c r="X55" s="289">
        <f t="shared" si="93"/>
        <v>1.4031109747408821E-2</v>
      </c>
      <c r="Y55" s="289">
        <f t="shared" si="93"/>
        <v>3.6686214527299907E-2</v>
      </c>
      <c r="Z55" s="289">
        <f t="shared" si="93"/>
        <v>5.5917248833580679E-2</v>
      </c>
      <c r="AA55" s="289">
        <f>AA45/AA44</f>
        <v>0.23065269816321499</v>
      </c>
      <c r="AB55" s="289">
        <f>AB45/AB44</f>
        <v>0.29543125364073031</v>
      </c>
      <c r="AC55" s="341">
        <f>IF(AC44=0,0,AC45/AC44)</f>
        <v>0.20817578709131665</v>
      </c>
      <c r="AD55" s="310">
        <f>AD45/AD44</f>
        <v>0.23158667965445498</v>
      </c>
      <c r="AE55" s="267">
        <f t="shared" ref="AE55:AM55" si="94">AE45/AE44</f>
        <v>0.24052968990752613</v>
      </c>
      <c r="AF55" s="267">
        <f t="shared" si="94"/>
        <v>0.13775836711662492</v>
      </c>
      <c r="AG55" s="267">
        <f t="shared" si="94"/>
        <v>3.0228314895696703E-2</v>
      </c>
      <c r="AH55" s="267">
        <f t="shared" si="94"/>
        <v>0</v>
      </c>
      <c r="AI55" s="267">
        <f t="shared" si="94"/>
        <v>0</v>
      </c>
      <c r="AJ55" s="267">
        <f t="shared" si="94"/>
        <v>0</v>
      </c>
      <c r="AK55" s="267">
        <f t="shared" si="94"/>
        <v>1.3162635482595691E-2</v>
      </c>
      <c r="AL55" s="267">
        <f t="shared" si="94"/>
        <v>0</v>
      </c>
      <c r="AM55" s="267">
        <f t="shared" si="94"/>
        <v>0.29181622579249616</v>
      </c>
      <c r="AN55" s="267">
        <f>AN45/AN44</f>
        <v>0.38211974023479317</v>
      </c>
      <c r="AO55" s="267">
        <f>AO45/AO44</f>
        <v>0.36284349777952152</v>
      </c>
      <c r="AP55" s="331">
        <f>IF(AP44=0,0,AP45/AP44)</f>
        <v>0.22121121529592538</v>
      </c>
      <c r="AQ55" s="310">
        <v>0.38185387863359904</v>
      </c>
      <c r="AR55" s="267">
        <v>0.31450438790405644</v>
      </c>
      <c r="AS55" s="267">
        <v>0.10238515916989155</v>
      </c>
      <c r="AT55" s="267">
        <v>0.14708902887992609</v>
      </c>
      <c r="AU55" s="267">
        <v>0.10310827445221837</v>
      </c>
      <c r="AV55" s="267">
        <v>0</v>
      </c>
      <c r="AW55" s="267">
        <v>0</v>
      </c>
      <c r="AX55" s="267">
        <v>8.4447518895874301E-3</v>
      </c>
      <c r="AY55" s="267">
        <v>0</v>
      </c>
      <c r="AZ55" s="267">
        <v>0.29438483322602804</v>
      </c>
      <c r="BA55" s="267">
        <v>0.22535623658012882</v>
      </c>
      <c r="BB55" s="267">
        <v>0.33913606099923438</v>
      </c>
      <c r="BC55" s="331">
        <f t="shared" ref="BC55" si="95">BC45/BC44</f>
        <v>0.24364817353243637</v>
      </c>
      <c r="BD55" s="174"/>
    </row>
    <row r="56" spans="2:64" s="173" customFormat="1" x14ac:dyDescent="0.2">
      <c r="B56" s="117" t="s">
        <v>78</v>
      </c>
      <c r="C56" s="175" t="s">
        <v>77</v>
      </c>
      <c r="D56" s="237">
        <f>(D47-D48)/D47</f>
        <v>0.10110293757424084</v>
      </c>
      <c r="E56" s="237">
        <f t="shared" ref="E56:O56" si="96">(E47-E48)/E47</f>
        <v>0.21291153358366116</v>
      </c>
      <c r="F56" s="237">
        <f t="shared" si="96"/>
        <v>0.17346445416486647</v>
      </c>
      <c r="G56" s="237">
        <f t="shared" si="96"/>
        <v>0.22772740735447985</v>
      </c>
      <c r="H56" s="237">
        <f t="shared" si="96"/>
        <v>0.51291692658353272</v>
      </c>
      <c r="I56" s="237">
        <f t="shared" si="96"/>
        <v>0.70786205422099813</v>
      </c>
      <c r="J56" s="237">
        <f t="shared" si="96"/>
        <v>0.81595748777303656</v>
      </c>
      <c r="K56" s="237">
        <f t="shared" si="96"/>
        <v>0.77063975193044321</v>
      </c>
      <c r="L56" s="237">
        <f t="shared" si="96"/>
        <v>0.55106537714592352</v>
      </c>
      <c r="M56" s="237">
        <f t="shared" si="96"/>
        <v>0.26406408486391392</v>
      </c>
      <c r="N56" s="237">
        <f t="shared" si="96"/>
        <v>0.17488612488049574</v>
      </c>
      <c r="O56" s="237">
        <f t="shared" si="96"/>
        <v>0.17890112023346713</v>
      </c>
      <c r="P56" s="332">
        <f t="shared" ref="P56" si="97">IF(P47=0,0,(P47-P48)/P47)</f>
        <v>0.36549020535680721</v>
      </c>
      <c r="Q56" s="306">
        <f>(Q47-Q48)/Q47</f>
        <v>0.19595279964996123</v>
      </c>
      <c r="R56" s="238">
        <f t="shared" ref="R56:AB56" si="98">(R47-R48)/R47</f>
        <v>0.15042631735917797</v>
      </c>
      <c r="S56" s="238">
        <f t="shared" si="98"/>
        <v>0.140397645798049</v>
      </c>
      <c r="T56" s="238">
        <f t="shared" si="98"/>
        <v>0.24815825503062097</v>
      </c>
      <c r="U56" s="238">
        <f t="shared" si="98"/>
        <v>0.49838082220586688</v>
      </c>
      <c r="V56" s="238">
        <f t="shared" si="98"/>
        <v>0.73037140523249089</v>
      </c>
      <c r="W56" s="238">
        <f t="shared" si="98"/>
        <v>0.75147974416738317</v>
      </c>
      <c r="X56" s="238">
        <f t="shared" si="98"/>
        <v>0.74954402110784824</v>
      </c>
      <c r="Y56" s="238">
        <f t="shared" si="98"/>
        <v>0.54350909325413477</v>
      </c>
      <c r="Z56" s="238">
        <f t="shared" si="98"/>
        <v>0.22259424388807697</v>
      </c>
      <c r="AA56" s="238">
        <f t="shared" si="98"/>
        <v>0.14182042350806753</v>
      </c>
      <c r="AB56" s="238">
        <f t="shared" si="98"/>
        <v>9.8436831920088383E-2</v>
      </c>
      <c r="AC56" s="342">
        <f>IF(AC47=0,0,(AC47-AC48)/AC47)</f>
        <v>0.34153316117434412</v>
      </c>
      <c r="AD56" s="311">
        <f>(AD47-AD48)/AD47</f>
        <v>0.1175665053670998</v>
      </c>
      <c r="AE56" s="266">
        <f t="shared" ref="AE56:AO56" si="99">(AE47-AE48)/AE47</f>
        <v>0.14834217050552895</v>
      </c>
      <c r="AF56" s="266">
        <f t="shared" si="99"/>
        <v>8.5665109454900273E-2</v>
      </c>
      <c r="AG56" s="266">
        <f t="shared" si="99"/>
        <v>0.32353891088344355</v>
      </c>
      <c r="AH56" s="266">
        <f t="shared" si="99"/>
        <v>0.74161736856816851</v>
      </c>
      <c r="AI56" s="266">
        <f t="shared" si="99"/>
        <v>0.73908882924418851</v>
      </c>
      <c r="AJ56" s="266">
        <f t="shared" si="99"/>
        <v>0.79143189934974123</v>
      </c>
      <c r="AK56" s="266">
        <f t="shared" si="99"/>
        <v>0.76017613924097038</v>
      </c>
      <c r="AL56" s="266">
        <f t="shared" si="99"/>
        <v>0.66205641280791883</v>
      </c>
      <c r="AM56" s="266">
        <f t="shared" si="99"/>
        <v>0.30915570367756123</v>
      </c>
      <c r="AN56" s="266">
        <f t="shared" si="99"/>
        <v>0.19758437044590815</v>
      </c>
      <c r="AO56" s="266">
        <f t="shared" si="99"/>
        <v>0.16613199530628814</v>
      </c>
      <c r="AP56" s="345">
        <f>IF(AP47=0,0,(AP47-AP48)/AP47)</f>
        <v>0.39886929157940038</v>
      </c>
      <c r="AQ56" s="310">
        <v>0.20258028030792777</v>
      </c>
      <c r="AR56" s="267">
        <v>0.28025227269131198</v>
      </c>
      <c r="AS56" s="267">
        <v>0.19689863145352052</v>
      </c>
      <c r="AT56" s="267">
        <v>0.32133198638452432</v>
      </c>
      <c r="AU56" s="267">
        <v>0.56470595655834221</v>
      </c>
      <c r="AV56" s="267">
        <v>0.75775714121628868</v>
      </c>
      <c r="AW56" s="267">
        <v>0.79295741197676606</v>
      </c>
      <c r="AX56" s="267">
        <v>0.71553951608000899</v>
      </c>
      <c r="AY56" s="267">
        <v>0.68436823029808114</v>
      </c>
      <c r="AZ56" s="267">
        <v>0.41630365141916686</v>
      </c>
      <c r="BA56" s="267">
        <v>0.22127180840081723</v>
      </c>
      <c r="BB56" s="267">
        <v>0.18268956516478102</v>
      </c>
      <c r="BC56" s="331">
        <f t="shared" ref="BC56" si="100">(BC47-BC48)/BC47</f>
        <v>0.40970580669725731</v>
      </c>
      <c r="BD56" s="174"/>
    </row>
    <row r="57" spans="2:64" s="173" customFormat="1" x14ac:dyDescent="0.2">
      <c r="B57" s="117" t="s">
        <v>79</v>
      </c>
      <c r="C57" s="175" t="s">
        <v>77</v>
      </c>
      <c r="D57" s="239">
        <f>(D44-D45+D48/1000*(1-D59)*0.86)/(7*(D52*D48/1000*(1-D59)+D49*(D44-D45)))*1000</f>
        <v>0.83650909005270691</v>
      </c>
      <c r="E57" s="239">
        <f t="shared" ref="E57:O57" si="101">(E44-E45+E48/1000*(1-E59)*0.86)/(7*(E52*E48/1000*(1-E59)+E49*(E44-E45)))*1000</f>
        <v>0.83509891286225801</v>
      </c>
      <c r="F57" s="239">
        <f t="shared" si="101"/>
        <v>0.83468410697321505</v>
      </c>
      <c r="G57" s="239">
        <f t="shared" si="101"/>
        <v>0.83078758081647242</v>
      </c>
      <c r="H57" s="239">
        <f t="shared" si="101"/>
        <v>0.82066335411870039</v>
      </c>
      <c r="I57" s="239">
        <f t="shared" si="101"/>
        <v>0.8046016067738907</v>
      </c>
      <c r="J57" s="239">
        <f t="shared" si="101"/>
        <v>0.80047884650940082</v>
      </c>
      <c r="K57" s="239">
        <f t="shared" si="101"/>
        <v>0.80158473358756854</v>
      </c>
      <c r="L57" s="239">
        <f t="shared" si="101"/>
        <v>0.82121621661370547</v>
      </c>
      <c r="M57" s="240">
        <f t="shared" si="101"/>
        <v>0.83960972774268672</v>
      </c>
      <c r="N57" s="239">
        <f t="shared" si="101"/>
        <v>0.83680584481977327</v>
      </c>
      <c r="O57" s="239">
        <f t="shared" si="101"/>
        <v>0.82960322607574444</v>
      </c>
      <c r="P57" s="333">
        <f t="shared" ref="P57" si="102">IF((P44-P45)=0,0,(P44-P45+P48/1000*(1-P59)*0.86)/(7*(P52*P48/1000*(1-P59)+P49*(P44-P45)))*1000)</f>
        <v>0.83041178632027579</v>
      </c>
      <c r="Q57" s="307">
        <f>(Q44-Q45+Q48/1000*(1-Q59)*0.86)/(7*(Q52*Q48/1000*(1-Q59)+Q49*(Q44-Q45)))*1000</f>
        <v>0.82003520892360704</v>
      </c>
      <c r="R57" s="241">
        <f t="shared" ref="R57:AB57" si="103">(R44-R45+R48/1000*(1-R59)*0.86)/(7*(R52*R48/1000*(1-R59)+R49*(R44-R45)))*1000</f>
        <v>0.82457050405034682</v>
      </c>
      <c r="S57" s="241">
        <f t="shared" si="103"/>
        <v>0.83085750862895391</v>
      </c>
      <c r="T57" s="241">
        <f t="shared" si="103"/>
        <v>0.82825593189806668</v>
      </c>
      <c r="U57" s="241">
        <f t="shared" si="103"/>
        <v>0.82104032773759139</v>
      </c>
      <c r="V57" s="241">
        <f t="shared" si="103"/>
        <v>0.81499770529050841</v>
      </c>
      <c r="W57" s="241">
        <f t="shared" si="103"/>
        <v>0.80788823466279969</v>
      </c>
      <c r="X57" s="241">
        <f t="shared" si="103"/>
        <v>0.80802353392656534</v>
      </c>
      <c r="Y57" s="241">
        <f t="shared" si="103"/>
        <v>0.81948169137382909</v>
      </c>
      <c r="Z57" s="242">
        <f t="shared" si="103"/>
        <v>0.83239111562138113</v>
      </c>
      <c r="AA57" s="241">
        <f t="shared" si="103"/>
        <v>0.82847715394556665</v>
      </c>
      <c r="AB57" s="241">
        <f t="shared" si="103"/>
        <v>0.83098645331619736</v>
      </c>
      <c r="AC57" s="343">
        <f>IF((AC44-AC45)=0,0,(AC44-AC45+AC48/1000*(1-AC59)*0.86)/(7*(AC52*AC48/1000*(1-AC59)+AC49*(AC44-AC45)))*1000)</f>
        <v>0.82552778898544432</v>
      </c>
      <c r="AD57" s="298">
        <f>(AD44-AD45+AD48/1000*(1-AD59)*0.86)/(7*(AD52*AD48/1000*(1-AD59)+AD49*(AD44-AD45)))*1000</f>
        <v>0.83072241433139982</v>
      </c>
      <c r="AE57" s="166">
        <f t="shared" ref="AE57:AO57" si="104">(AE44-AE45+AE48/1000*(1-AE59)*0.86)/(7*(AE52*AE48/1000*(1-AE59)+AE49*(AE44-AE45)))*1000</f>
        <v>0.83160330184890696</v>
      </c>
      <c r="AF57" s="166">
        <f t="shared" si="104"/>
        <v>0.83490861161099927</v>
      </c>
      <c r="AG57" s="166">
        <f t="shared" si="104"/>
        <v>0.82574182789753814</v>
      </c>
      <c r="AH57" s="166">
        <f t="shared" si="104"/>
        <v>0.79599380893710581</v>
      </c>
      <c r="AI57" s="166">
        <f t="shared" si="104"/>
        <v>0.79827446430487126</v>
      </c>
      <c r="AJ57" s="166">
        <f t="shared" si="104"/>
        <v>0.79464648275427219</v>
      </c>
      <c r="AK57" s="166">
        <f t="shared" si="104"/>
        <v>0.79670719859064809</v>
      </c>
      <c r="AL57" s="166">
        <f t="shared" si="104"/>
        <v>0.79977834868599884</v>
      </c>
      <c r="AM57" s="184">
        <f t="shared" si="104"/>
        <v>0.81278446121776748</v>
      </c>
      <c r="AN57" s="166">
        <f t="shared" si="104"/>
        <v>0.8162171546260174</v>
      </c>
      <c r="AO57" s="166">
        <f t="shared" si="104"/>
        <v>0.81465838507639332</v>
      </c>
      <c r="AP57" s="346">
        <f>IF((AP44-AP45)=0,0,(AP44-AP45+AP48/1000*(1-AP59)*0.86)/(7*(AP52*AP48/1000*(1-AP59)+AP49*(AP44-AP45)))*1000)</f>
        <v>0.81996860033477859</v>
      </c>
      <c r="AQ57" s="317">
        <v>0.82582707543554745</v>
      </c>
      <c r="AR57" s="184">
        <v>0.82950387341682952</v>
      </c>
      <c r="AS57" s="184">
        <v>0.8417878939722796</v>
      </c>
      <c r="AT57" s="184">
        <v>0.82968529386607326</v>
      </c>
      <c r="AU57" s="184">
        <v>0.80916537877114425</v>
      </c>
      <c r="AV57" s="184">
        <v>0.79556272970578834</v>
      </c>
      <c r="AW57" s="184">
        <v>0.79792162427974611</v>
      </c>
      <c r="AX57" s="184">
        <v>0.7968184366618809</v>
      </c>
      <c r="AY57" s="184">
        <v>0.80559642665827791</v>
      </c>
      <c r="AZ57" s="184">
        <v>0.82143112650142969</v>
      </c>
      <c r="BA57" s="184">
        <v>0.83137739905347718</v>
      </c>
      <c r="BB57" s="184">
        <v>0.83087591167716091</v>
      </c>
      <c r="BC57" s="347">
        <f t="shared" ref="BC57" si="105">(BC44-BC45+BC48/1000*(1-BC59)*0.86)/(7*(BC52*BC48/1000*(1-BC59)+BC49*(BC44-BC45)))*1000</f>
        <v>0.82526381471995847</v>
      </c>
      <c r="BD57" s="174"/>
    </row>
    <row r="58" spans="2:64" s="173" customFormat="1" x14ac:dyDescent="0.2">
      <c r="B58" s="117" t="s">
        <v>80</v>
      </c>
      <c r="C58" s="175" t="s">
        <v>81</v>
      </c>
      <c r="D58" s="243">
        <v>360363</v>
      </c>
      <c r="E58" s="243">
        <v>392571</v>
      </c>
      <c r="F58" s="244">
        <v>334122</v>
      </c>
      <c r="G58" s="245">
        <v>234179</v>
      </c>
      <c r="H58" s="244">
        <v>168552</v>
      </c>
      <c r="I58" s="244">
        <v>169567.00000000003</v>
      </c>
      <c r="J58" s="244">
        <v>225889</v>
      </c>
      <c r="K58" s="244">
        <v>242243.00000000003</v>
      </c>
      <c r="L58" s="246">
        <v>242783</v>
      </c>
      <c r="M58" s="247">
        <v>244335</v>
      </c>
      <c r="N58" s="244">
        <v>272025</v>
      </c>
      <c r="O58" s="244">
        <v>379717</v>
      </c>
      <c r="P58" s="329">
        <f>SUM(D58:O58)</f>
        <v>3266346</v>
      </c>
      <c r="Q58" s="308">
        <v>368256</v>
      </c>
      <c r="R58" s="248">
        <v>294272</v>
      </c>
      <c r="S58" s="249">
        <v>323802</v>
      </c>
      <c r="T58" s="250">
        <v>275919</v>
      </c>
      <c r="U58" s="248">
        <v>189865</v>
      </c>
      <c r="V58" s="248">
        <v>187960</v>
      </c>
      <c r="W58" s="248">
        <v>187054</v>
      </c>
      <c r="X58" s="248">
        <v>185709</v>
      </c>
      <c r="Y58" s="248">
        <v>206653</v>
      </c>
      <c r="Z58" s="251">
        <v>227228</v>
      </c>
      <c r="AA58" s="248">
        <v>287222</v>
      </c>
      <c r="AB58" s="248">
        <v>336095</v>
      </c>
      <c r="AC58" s="344">
        <f>SUM(Q58:AB58)</f>
        <v>3070035</v>
      </c>
      <c r="AD58" s="312">
        <v>380390</v>
      </c>
      <c r="AE58" s="268">
        <v>332730</v>
      </c>
      <c r="AF58" s="168">
        <v>294870</v>
      </c>
      <c r="AG58" s="250">
        <v>221551</v>
      </c>
      <c r="AH58" s="168">
        <v>265552.99999999994</v>
      </c>
      <c r="AI58" s="168">
        <v>214126</v>
      </c>
      <c r="AJ58" s="168">
        <v>232804</v>
      </c>
      <c r="AK58" s="168">
        <v>207978</v>
      </c>
      <c r="AL58" s="269">
        <v>188373</v>
      </c>
      <c r="AM58" s="171">
        <v>235676</v>
      </c>
      <c r="AN58" s="168">
        <v>293774</v>
      </c>
      <c r="AO58" s="168">
        <v>375354</v>
      </c>
      <c r="AP58" s="344">
        <f>SUM(AD58:AO58)</f>
        <v>3243179</v>
      </c>
      <c r="AQ58" s="318">
        <v>443778.99999999994</v>
      </c>
      <c r="AR58" s="270">
        <v>375860</v>
      </c>
      <c r="AS58" s="169">
        <v>301155</v>
      </c>
      <c r="AT58" s="271">
        <v>202224</v>
      </c>
      <c r="AU58" s="169">
        <v>200870.00000000003</v>
      </c>
      <c r="AV58" s="169">
        <v>208452</v>
      </c>
      <c r="AW58" s="169">
        <v>207838</v>
      </c>
      <c r="AX58" s="169">
        <v>178555</v>
      </c>
      <c r="AY58" s="171">
        <v>184472.99999999997</v>
      </c>
      <c r="AZ58" s="272">
        <v>224884</v>
      </c>
      <c r="BA58" s="273">
        <v>285742</v>
      </c>
      <c r="BB58" s="262">
        <v>350759</v>
      </c>
      <c r="BC58" s="336">
        <f>SUM(AQ58:BB58)</f>
        <v>3164591</v>
      </c>
      <c r="BD58" s="174"/>
    </row>
    <row r="59" spans="2:64" s="173" customFormat="1" ht="15.75" thickBot="1" x14ac:dyDescent="0.25">
      <c r="B59" s="117" t="s">
        <v>82</v>
      </c>
      <c r="C59" s="175" t="s">
        <v>77</v>
      </c>
      <c r="D59" s="252">
        <v>8.0116458431366167E-2</v>
      </c>
      <c r="E59" s="253">
        <v>7.6358738800443637E-2</v>
      </c>
      <c r="F59" s="253">
        <v>7.6054502727952833E-2</v>
      </c>
      <c r="G59" s="254">
        <v>8.0165466815996525E-2</v>
      </c>
      <c r="H59" s="254">
        <v>8.2629317920363737E-2</v>
      </c>
      <c r="I59" s="254">
        <v>7.4137571205092692E-2</v>
      </c>
      <c r="J59" s="255">
        <v>6.8132904924195603E-2</v>
      </c>
      <c r="K59" s="254">
        <v>7.0419748282361527E-2</v>
      </c>
      <c r="L59" s="254">
        <v>7.2305418595178306E-2</v>
      </c>
      <c r="M59" s="254">
        <v>7.910070314563844E-2</v>
      </c>
      <c r="N59" s="254">
        <v>8.3666485029924062E-2</v>
      </c>
      <c r="O59" s="256">
        <v>8.8116401394569208E-2</v>
      </c>
      <c r="P59" s="334">
        <f>AVERAGE(D59:O59)</f>
        <v>7.7600309772756879E-2</v>
      </c>
      <c r="Q59" s="309">
        <v>9.0479595684744757E-2</v>
      </c>
      <c r="R59" s="258">
        <v>9.0148323221715856E-2</v>
      </c>
      <c r="S59" s="259">
        <v>8.1605572077878163E-2</v>
      </c>
      <c r="T59" s="260">
        <v>7.5381216544925272E-2</v>
      </c>
      <c r="U59" s="260">
        <v>8.0241825254967925E-2</v>
      </c>
      <c r="V59" s="260">
        <v>6.4692758927866148E-2</v>
      </c>
      <c r="W59" s="257">
        <v>6.8802680898982324E-2</v>
      </c>
      <c r="X59" s="260">
        <v>6.9977284403481679E-2</v>
      </c>
      <c r="Y59" s="257">
        <v>7.2254948974248515E-2</v>
      </c>
      <c r="Z59" s="260">
        <v>7.9478369079233724E-2</v>
      </c>
      <c r="AA59" s="260">
        <v>8.4196942909937053E-2</v>
      </c>
      <c r="AB59" s="261">
        <v>9.2566997328577885E-2</v>
      </c>
      <c r="AC59" s="328">
        <f>AVERAGE(Q59:AB59)</f>
        <v>7.9152209608879948E-2</v>
      </c>
      <c r="AD59" s="313">
        <v>8.2480165065952682E-2</v>
      </c>
      <c r="AE59" s="275">
        <v>8.4431598369002131E-2</v>
      </c>
      <c r="AF59" s="276">
        <v>9.0750685360815458E-2</v>
      </c>
      <c r="AG59" s="274">
        <v>8.7757079722632247E-2</v>
      </c>
      <c r="AH59" s="274">
        <v>6.5264338563187654E-2</v>
      </c>
      <c r="AI59" s="274">
        <v>6.8358261714401042E-2</v>
      </c>
      <c r="AJ59" s="277">
        <v>7.0064236841810845E-2</v>
      </c>
      <c r="AK59" s="274">
        <v>7.2934211174115346E-2</v>
      </c>
      <c r="AL59" s="274">
        <v>7.7684625237437188E-2</v>
      </c>
      <c r="AM59" s="274">
        <v>0.10111217754109759</v>
      </c>
      <c r="AN59" s="274">
        <v>0.10107328808231827</v>
      </c>
      <c r="AO59" s="275">
        <v>9.3406674891311603E-2</v>
      </c>
      <c r="AP59" s="328">
        <f>AVERAGE(AD59:AO59)</f>
        <v>8.2943111880340162E-2</v>
      </c>
      <c r="AQ59" s="319">
        <v>8.7971960306699459E-2</v>
      </c>
      <c r="AR59" s="279">
        <v>8.159449067796079E-2</v>
      </c>
      <c r="AS59" s="280">
        <v>8.1364288657259976E-2</v>
      </c>
      <c r="AT59" s="281">
        <v>9.8189149040599125E-2</v>
      </c>
      <c r="AU59" s="281">
        <v>8.5338051439515894E-2</v>
      </c>
      <c r="AV59" s="282">
        <v>7.4298430770739401E-2</v>
      </c>
      <c r="AW59" s="278">
        <v>7.175344191508469E-2</v>
      </c>
      <c r="AX59" s="282">
        <v>8.0155332476512686E-2</v>
      </c>
      <c r="AY59" s="278">
        <v>8.2691556086194884E-2</v>
      </c>
      <c r="AZ59" s="283">
        <v>0.10235691640150643</v>
      </c>
      <c r="BA59" s="283">
        <v>9.4735154179147865E-2</v>
      </c>
      <c r="BB59" s="283">
        <v>9.5329259544161993E-2</v>
      </c>
      <c r="BC59" s="328">
        <f>AVERAGE(AQ59:BB59)</f>
        <v>8.631483595794863E-2</v>
      </c>
      <c r="BD59" s="185"/>
      <c r="BE59" s="185"/>
      <c r="BF59" s="185"/>
      <c r="BG59" s="185"/>
      <c r="BH59" s="185"/>
      <c r="BI59" s="185"/>
      <c r="BJ59" s="185"/>
      <c r="BK59" s="185"/>
      <c r="BL59" s="185"/>
    </row>
    <row r="61" spans="2:64" s="173" customFormat="1" ht="15.75" x14ac:dyDescent="0.2">
      <c r="B61" s="431" t="s">
        <v>21</v>
      </c>
      <c r="C61" s="431" t="s">
        <v>2</v>
      </c>
      <c r="D61" s="431" t="s">
        <v>92</v>
      </c>
      <c r="E61" s="431"/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 t="s">
        <v>92</v>
      </c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431"/>
      <c r="AC61" s="431"/>
      <c r="AD61" s="431" t="s">
        <v>92</v>
      </c>
      <c r="AE61" s="431"/>
      <c r="AF61" s="431"/>
      <c r="AG61" s="431"/>
      <c r="AH61" s="431"/>
      <c r="AI61" s="431"/>
      <c r="AJ61" s="431"/>
      <c r="AK61" s="431"/>
      <c r="AL61" s="431"/>
      <c r="AM61" s="431"/>
      <c r="AN61" s="431"/>
      <c r="AO61" s="431"/>
      <c r="AP61" s="431"/>
      <c r="AQ61" s="431" t="s">
        <v>92</v>
      </c>
      <c r="AR61" s="431"/>
      <c r="AS61" s="431"/>
      <c r="AT61" s="431"/>
      <c r="AU61" s="431"/>
      <c r="AV61" s="431"/>
      <c r="AW61" s="431"/>
      <c r="AX61" s="431"/>
      <c r="AY61" s="431"/>
      <c r="AZ61" s="431"/>
      <c r="BA61" s="431"/>
      <c r="BB61" s="431"/>
      <c r="BC61" s="431"/>
      <c r="BD61" s="174"/>
    </row>
    <row r="62" spans="2:64" s="173" customFormat="1" ht="15.75" x14ac:dyDescent="0.2">
      <c r="B62" s="431"/>
      <c r="C62" s="431"/>
      <c r="D62" s="61" t="s">
        <v>3</v>
      </c>
      <c r="E62" s="61" t="s">
        <v>4</v>
      </c>
      <c r="F62" s="61" t="s">
        <v>5</v>
      </c>
      <c r="G62" s="61" t="s">
        <v>6</v>
      </c>
      <c r="H62" s="61" t="s">
        <v>7</v>
      </c>
      <c r="I62" s="61" t="s">
        <v>8</v>
      </c>
      <c r="J62" s="61" t="s">
        <v>9</v>
      </c>
      <c r="K62" s="61" t="s">
        <v>10</v>
      </c>
      <c r="L62" s="194" t="s">
        <v>11</v>
      </c>
      <c r="M62" s="195" t="s">
        <v>12</v>
      </c>
      <c r="N62" s="61" t="s">
        <v>13</v>
      </c>
      <c r="O62" s="61" t="s">
        <v>14</v>
      </c>
      <c r="P62" s="322" t="s">
        <v>33</v>
      </c>
      <c r="Q62" s="290" t="s">
        <v>3</v>
      </c>
      <c r="R62" s="61" t="s">
        <v>4</v>
      </c>
      <c r="S62" s="61" t="s">
        <v>5</v>
      </c>
      <c r="T62" s="61" t="s">
        <v>6</v>
      </c>
      <c r="U62" s="61" t="s">
        <v>7</v>
      </c>
      <c r="V62" s="61" t="s">
        <v>8</v>
      </c>
      <c r="W62" s="61" t="s">
        <v>9</v>
      </c>
      <c r="X62" s="61" t="s">
        <v>10</v>
      </c>
      <c r="Y62" s="194" t="s">
        <v>11</v>
      </c>
      <c r="Z62" s="195" t="s">
        <v>12</v>
      </c>
      <c r="AA62" s="61" t="s">
        <v>13</v>
      </c>
      <c r="AB62" s="61" t="s">
        <v>14</v>
      </c>
      <c r="AC62" s="322" t="s">
        <v>33</v>
      </c>
      <c r="AD62" s="290" t="s">
        <v>3</v>
      </c>
      <c r="AE62" s="61" t="s">
        <v>4</v>
      </c>
      <c r="AF62" s="61" t="s">
        <v>5</v>
      </c>
      <c r="AG62" s="61" t="s">
        <v>6</v>
      </c>
      <c r="AH62" s="61" t="s">
        <v>7</v>
      </c>
      <c r="AI62" s="61" t="s">
        <v>8</v>
      </c>
      <c r="AJ62" s="61" t="s">
        <v>9</v>
      </c>
      <c r="AK62" s="61" t="s">
        <v>10</v>
      </c>
      <c r="AL62" s="194" t="s">
        <v>11</v>
      </c>
      <c r="AM62" s="195" t="s">
        <v>12</v>
      </c>
      <c r="AN62" s="61" t="s">
        <v>13</v>
      </c>
      <c r="AO62" s="61" t="s">
        <v>14</v>
      </c>
      <c r="AP62" s="322" t="s">
        <v>33</v>
      </c>
      <c r="AQ62" s="290" t="s">
        <v>3</v>
      </c>
      <c r="AR62" s="61" t="s">
        <v>4</v>
      </c>
      <c r="AS62" s="61" t="s">
        <v>5</v>
      </c>
      <c r="AT62" s="61" t="s">
        <v>6</v>
      </c>
      <c r="AU62" s="61" t="s">
        <v>7</v>
      </c>
      <c r="AV62" s="61" t="s">
        <v>8</v>
      </c>
      <c r="AW62" s="61" t="s">
        <v>9</v>
      </c>
      <c r="AX62" s="61" t="s">
        <v>10</v>
      </c>
      <c r="AY62" s="194" t="s">
        <v>11</v>
      </c>
      <c r="AZ62" s="195" t="s">
        <v>12</v>
      </c>
      <c r="BA62" s="61" t="s">
        <v>13</v>
      </c>
      <c r="BB62" s="61" t="s">
        <v>14</v>
      </c>
      <c r="BC62" s="322" t="s">
        <v>33</v>
      </c>
      <c r="BD62" s="174"/>
    </row>
    <row r="63" spans="2:64" s="173" customFormat="1" x14ac:dyDescent="0.2">
      <c r="B63" s="191" t="s">
        <v>62</v>
      </c>
      <c r="C63" s="205" t="s">
        <v>15</v>
      </c>
      <c r="D63" s="176">
        <v>1389.8321249999999</v>
      </c>
      <c r="E63" s="152">
        <v>1465.37075</v>
      </c>
      <c r="F63" s="152">
        <v>1199.3320000000001</v>
      </c>
      <c r="G63" s="176">
        <v>815.61974999999995</v>
      </c>
      <c r="H63" s="152">
        <v>422.03100000000001</v>
      </c>
      <c r="I63" s="152">
        <v>273.98200000000003</v>
      </c>
      <c r="J63" s="152">
        <v>207.792</v>
      </c>
      <c r="K63" s="152">
        <v>236.251</v>
      </c>
      <c r="L63" s="152">
        <v>520.15312500000005</v>
      </c>
      <c r="M63" s="152">
        <v>805.89093749999995</v>
      </c>
      <c r="N63" s="152">
        <v>1014.75125</v>
      </c>
      <c r="O63" s="152">
        <v>1514.4579250000002</v>
      </c>
      <c r="P63" s="335">
        <f t="shared" ref="P63:P67" si="106">SUM(D63:O63)</f>
        <v>9865.4638625000007</v>
      </c>
      <c r="Q63" s="381">
        <v>1426.3542500000001</v>
      </c>
      <c r="R63" s="152">
        <v>1086.731125</v>
      </c>
      <c r="S63" s="152">
        <v>1177.7728750000001</v>
      </c>
      <c r="T63" s="176">
        <v>903.719875</v>
      </c>
      <c r="U63" s="152">
        <v>490.21962500000001</v>
      </c>
      <c r="V63" s="152">
        <v>274.73700000000002</v>
      </c>
      <c r="W63" s="152">
        <v>216.83501562500001</v>
      </c>
      <c r="X63" s="152">
        <v>215.99790625</v>
      </c>
      <c r="Y63" s="152">
        <v>465.2840625</v>
      </c>
      <c r="Z63" s="152">
        <v>800.62962500000003</v>
      </c>
      <c r="AA63" s="152">
        <v>1125.5951250000001</v>
      </c>
      <c r="AB63" s="152">
        <v>1342.16</v>
      </c>
      <c r="AC63" s="338">
        <f t="shared" ref="AC63:AC67" si="107">SUM(Q63:AB63)</f>
        <v>9526.0364843749994</v>
      </c>
      <c r="AD63" s="382">
        <v>1415.0889999999999</v>
      </c>
      <c r="AE63" s="152">
        <v>1232.7470000000001</v>
      </c>
      <c r="AF63" s="152">
        <v>1090.4727499999999</v>
      </c>
      <c r="AG63" s="177">
        <v>676.36112500000002</v>
      </c>
      <c r="AH63" s="152">
        <v>308.95999999999998</v>
      </c>
      <c r="AI63" s="152">
        <v>264.95400000000001</v>
      </c>
      <c r="AJ63" s="152">
        <v>217.30199999999999</v>
      </c>
      <c r="AK63" s="152">
        <v>228.583984375</v>
      </c>
      <c r="AL63" s="152">
        <v>310.83596875000001</v>
      </c>
      <c r="AM63" s="152">
        <v>869.18937500000004</v>
      </c>
      <c r="AN63" s="152">
        <v>1119.6846250000001</v>
      </c>
      <c r="AO63" s="152">
        <v>1438.6289999999999</v>
      </c>
      <c r="AP63" s="338">
        <f t="shared" ref="AP63:AP67" si="108">SUM(AD63:AO63)</f>
        <v>9172.8088281249984</v>
      </c>
      <c r="AQ63" s="382">
        <v>1637.5624499999999</v>
      </c>
      <c r="AR63" s="152">
        <v>1329.9157499999999</v>
      </c>
      <c r="AS63" s="152">
        <v>1086.0899999999999</v>
      </c>
      <c r="AT63" s="177">
        <v>749.18993750000004</v>
      </c>
      <c r="AU63" s="152">
        <v>496.42481249999997</v>
      </c>
      <c r="AV63" s="152">
        <v>252.684984375</v>
      </c>
      <c r="AW63" s="152">
        <v>212.60603125</v>
      </c>
      <c r="AX63" s="152">
        <v>221.91493750000001</v>
      </c>
      <c r="AY63" s="152">
        <v>287.51306249999999</v>
      </c>
      <c r="AZ63" s="152">
        <v>776.67037500000004</v>
      </c>
      <c r="BA63" s="152">
        <v>1102.8150000000001</v>
      </c>
      <c r="BB63" s="152">
        <v>1292.040375</v>
      </c>
      <c r="BC63" s="336">
        <f>SUM(AQ63:BB63)</f>
        <v>9445.4277156250009</v>
      </c>
      <c r="BD63" s="174"/>
      <c r="BI63" s="218"/>
    </row>
    <row r="64" spans="2:64" s="173" customFormat="1" x14ac:dyDescent="0.2">
      <c r="B64" s="117" t="s">
        <v>63</v>
      </c>
      <c r="C64" s="175" t="s">
        <v>15</v>
      </c>
      <c r="D64" s="176">
        <v>389.76299999999998</v>
      </c>
      <c r="E64" s="152">
        <v>572.86900000000014</v>
      </c>
      <c r="F64" s="152">
        <v>265.245</v>
      </c>
      <c r="G64" s="176">
        <v>111.81399999999998</v>
      </c>
      <c r="H64" s="152">
        <v>34.887</v>
      </c>
      <c r="I64" s="152">
        <v>0</v>
      </c>
      <c r="J64" s="152">
        <v>0</v>
      </c>
      <c r="K64" s="152">
        <v>2.851000244140625</v>
      </c>
      <c r="L64" s="152">
        <v>8.7199990234375004</v>
      </c>
      <c r="M64" s="152">
        <v>58.595999999999997</v>
      </c>
      <c r="N64" s="152">
        <v>102.46300000000001</v>
      </c>
      <c r="O64" s="152">
        <v>474.92800000000005</v>
      </c>
      <c r="P64" s="335">
        <f t="shared" si="106"/>
        <v>2022.1359992675782</v>
      </c>
      <c r="Q64" s="381">
        <v>379.005</v>
      </c>
      <c r="R64" s="152">
        <v>161.10599999999999</v>
      </c>
      <c r="S64" s="152">
        <v>238.50300000000004</v>
      </c>
      <c r="T64" s="176">
        <v>104.39924999999999</v>
      </c>
      <c r="U64" s="152">
        <v>26.429003906249999</v>
      </c>
      <c r="V64" s="152">
        <v>0</v>
      </c>
      <c r="W64" s="152">
        <v>0</v>
      </c>
      <c r="X64" s="152">
        <v>3.8940031738281253</v>
      </c>
      <c r="Y64" s="152">
        <v>0.26700000000000002</v>
      </c>
      <c r="Z64" s="152">
        <v>17.125999999999998</v>
      </c>
      <c r="AA64" s="152">
        <v>204.10896875000003</v>
      </c>
      <c r="AB64" s="152">
        <v>251.04909375</v>
      </c>
      <c r="AC64" s="338">
        <f t="shared" si="107"/>
        <v>1385.8873195800779</v>
      </c>
      <c r="AD64" s="382">
        <v>323.69299999999998</v>
      </c>
      <c r="AE64" s="152">
        <v>233.17700000000002</v>
      </c>
      <c r="AF64" s="152">
        <v>104.462</v>
      </c>
      <c r="AG64" s="177">
        <v>51.167999999999999</v>
      </c>
      <c r="AH64" s="152">
        <v>0.65899920654296862</v>
      </c>
      <c r="AI64" s="152">
        <v>0</v>
      </c>
      <c r="AJ64" s="152">
        <v>0</v>
      </c>
      <c r="AK64" s="152">
        <v>1.951996826171875</v>
      </c>
      <c r="AL64" s="152">
        <v>0</v>
      </c>
      <c r="AM64" s="152">
        <v>33.728007812500003</v>
      </c>
      <c r="AN64" s="152">
        <v>183.41400000000002</v>
      </c>
      <c r="AO64" s="152">
        <v>301.65203124999999</v>
      </c>
      <c r="AP64" s="338">
        <f t="shared" si="108"/>
        <v>1233.9050350952148</v>
      </c>
      <c r="AQ64" s="382">
        <v>543.83299999999997</v>
      </c>
      <c r="AR64" s="152">
        <v>303.58299999999997</v>
      </c>
      <c r="AS64" s="152">
        <v>62.411999999999999</v>
      </c>
      <c r="AT64" s="177">
        <v>28.068000000000001</v>
      </c>
      <c r="AU64" s="152">
        <v>37.097000000000001</v>
      </c>
      <c r="AV64" s="152">
        <v>0</v>
      </c>
      <c r="AW64" s="152">
        <v>0</v>
      </c>
      <c r="AX64" s="152">
        <v>2.6490000000000005</v>
      </c>
      <c r="AY64" s="152">
        <v>0</v>
      </c>
      <c r="AZ64" s="152">
        <v>132.25200000000001</v>
      </c>
      <c r="BA64" s="152">
        <v>272.23099999999999</v>
      </c>
      <c r="BB64" s="152">
        <v>291.34199999999998</v>
      </c>
      <c r="BC64" s="336">
        <f>SUM(AQ64:BB64)</f>
        <v>1673.4670000000001</v>
      </c>
      <c r="BD64" s="174"/>
      <c r="BI64" s="218"/>
    </row>
    <row r="65" spans="2:64" s="173" customFormat="1" x14ac:dyDescent="0.2">
      <c r="B65" s="117" t="s">
        <v>64</v>
      </c>
      <c r="C65" s="175" t="s">
        <v>15</v>
      </c>
      <c r="D65" s="152">
        <v>0</v>
      </c>
      <c r="E65" s="152">
        <v>0</v>
      </c>
      <c r="F65" s="152">
        <v>0</v>
      </c>
      <c r="G65" s="176">
        <v>0</v>
      </c>
      <c r="H65" s="152">
        <v>0</v>
      </c>
      <c r="I65" s="152">
        <v>0</v>
      </c>
      <c r="J65" s="152">
        <v>0</v>
      </c>
      <c r="K65" s="152">
        <v>0</v>
      </c>
      <c r="L65" s="152">
        <v>0</v>
      </c>
      <c r="M65" s="152">
        <v>0</v>
      </c>
      <c r="N65" s="152">
        <v>0</v>
      </c>
      <c r="O65" s="152">
        <v>0</v>
      </c>
      <c r="P65" s="335">
        <f t="shared" si="106"/>
        <v>0</v>
      </c>
      <c r="Q65" s="292">
        <v>0</v>
      </c>
      <c r="R65" s="152">
        <v>0</v>
      </c>
      <c r="S65" s="152">
        <v>0</v>
      </c>
      <c r="T65" s="176">
        <v>0</v>
      </c>
      <c r="U65" s="152">
        <v>0</v>
      </c>
      <c r="V65" s="152">
        <v>0</v>
      </c>
      <c r="W65" s="152">
        <v>0</v>
      </c>
      <c r="X65" s="152">
        <v>0</v>
      </c>
      <c r="Y65" s="152">
        <v>0</v>
      </c>
      <c r="Z65" s="152">
        <v>0</v>
      </c>
      <c r="AA65" s="152">
        <v>0</v>
      </c>
      <c r="AB65" s="152">
        <v>0</v>
      </c>
      <c r="AC65" s="338">
        <f t="shared" si="107"/>
        <v>0</v>
      </c>
      <c r="AD65" s="292">
        <v>0</v>
      </c>
      <c r="AE65" s="152">
        <v>0</v>
      </c>
      <c r="AF65" s="152">
        <v>0</v>
      </c>
      <c r="AG65" s="177">
        <v>0</v>
      </c>
      <c r="AH65" s="152">
        <v>0</v>
      </c>
      <c r="AI65" s="152">
        <v>0</v>
      </c>
      <c r="AJ65" s="152">
        <v>0</v>
      </c>
      <c r="AK65" s="152">
        <v>0</v>
      </c>
      <c r="AL65" s="152">
        <v>0</v>
      </c>
      <c r="AM65" s="152">
        <v>0</v>
      </c>
      <c r="AN65" s="152">
        <v>0</v>
      </c>
      <c r="AO65" s="152">
        <v>0</v>
      </c>
      <c r="AP65" s="338">
        <f t="shared" si="108"/>
        <v>0</v>
      </c>
      <c r="AQ65" s="292">
        <v>0</v>
      </c>
      <c r="AR65" s="152">
        <v>0</v>
      </c>
      <c r="AS65" s="152">
        <v>0</v>
      </c>
      <c r="AT65" s="177">
        <v>0</v>
      </c>
      <c r="AU65" s="152">
        <v>0</v>
      </c>
      <c r="AV65" s="152">
        <v>0</v>
      </c>
      <c r="AW65" s="152">
        <v>0</v>
      </c>
      <c r="AX65" s="152">
        <v>0</v>
      </c>
      <c r="AY65" s="152">
        <v>0</v>
      </c>
      <c r="AZ65" s="152">
        <v>0</v>
      </c>
      <c r="BA65" s="152">
        <v>0</v>
      </c>
      <c r="BB65" s="152">
        <v>0</v>
      </c>
      <c r="BC65" s="336">
        <f>SUM(AQ65:BB65)</f>
        <v>0</v>
      </c>
      <c r="BD65" s="174"/>
      <c r="BI65" s="218"/>
    </row>
    <row r="66" spans="2:64" s="173" customFormat="1" ht="18" customHeight="1" x14ac:dyDescent="0.2">
      <c r="B66" s="186" t="s">
        <v>65</v>
      </c>
      <c r="C66" s="175" t="s">
        <v>66</v>
      </c>
      <c r="D66" s="179">
        <v>1059221.5</v>
      </c>
      <c r="E66" s="155">
        <v>980636.75</v>
      </c>
      <c r="F66" s="155">
        <v>997141.0625</v>
      </c>
      <c r="G66" s="179">
        <v>787969.625</v>
      </c>
      <c r="H66" s="155">
        <v>648240.8125</v>
      </c>
      <c r="I66" s="155">
        <v>703591.3125</v>
      </c>
      <c r="J66" s="155">
        <v>700402.0625</v>
      </c>
      <c r="K66" s="155">
        <v>737472.875</v>
      </c>
      <c r="L66" s="155">
        <v>828466.625</v>
      </c>
      <c r="M66" s="155">
        <v>814647.875</v>
      </c>
      <c r="N66" s="155">
        <v>934536.3125</v>
      </c>
      <c r="O66" s="155">
        <v>1083756.25</v>
      </c>
      <c r="P66" s="335">
        <f t="shared" si="106"/>
        <v>10276083.0625</v>
      </c>
      <c r="Q66" s="383">
        <v>1065525</v>
      </c>
      <c r="R66" s="155">
        <v>915704.9375</v>
      </c>
      <c r="S66" s="155">
        <v>923543.8125</v>
      </c>
      <c r="T66" s="179">
        <v>654113.375</v>
      </c>
      <c r="U66" s="155">
        <v>502742.625</v>
      </c>
      <c r="V66" s="155">
        <v>429771</v>
      </c>
      <c r="W66" s="155">
        <v>780691.5</v>
      </c>
      <c r="X66" s="155">
        <v>763735.125</v>
      </c>
      <c r="Y66" s="155">
        <v>845011.125</v>
      </c>
      <c r="Z66" s="155">
        <v>900440.25</v>
      </c>
      <c r="AA66" s="155">
        <v>956403.48750000005</v>
      </c>
      <c r="AB66" s="155">
        <v>1127414.25</v>
      </c>
      <c r="AC66" s="338">
        <f t="shared" si="107"/>
        <v>9865096.4875000007</v>
      </c>
      <c r="AD66" s="384">
        <v>1130718.75</v>
      </c>
      <c r="AE66" s="155">
        <v>997087.625</v>
      </c>
      <c r="AF66" s="155">
        <v>1033941.875</v>
      </c>
      <c r="AG66" s="180">
        <v>741007</v>
      </c>
      <c r="AH66" s="155">
        <v>669600.5625</v>
      </c>
      <c r="AI66" s="155">
        <v>639602.625</v>
      </c>
      <c r="AJ66" s="155">
        <v>734163.5</v>
      </c>
      <c r="AK66" s="155">
        <v>793610</v>
      </c>
      <c r="AL66" s="155">
        <v>807815</v>
      </c>
      <c r="AM66" s="155">
        <v>995193</v>
      </c>
      <c r="AN66" s="155">
        <v>893192.875</v>
      </c>
      <c r="AO66" s="155">
        <v>1148597.625</v>
      </c>
      <c r="AP66" s="338">
        <f t="shared" si="108"/>
        <v>10584530.4375</v>
      </c>
      <c r="AQ66" s="384">
        <v>1164296.5</v>
      </c>
      <c r="AR66" s="155">
        <v>1092835.125</v>
      </c>
      <c r="AS66" s="155">
        <v>1089425</v>
      </c>
      <c r="AT66" s="180">
        <v>837823.875</v>
      </c>
      <c r="AU66" s="155">
        <v>819109.45</v>
      </c>
      <c r="AV66" s="155">
        <v>779618</v>
      </c>
      <c r="AW66" s="155">
        <v>771193.5625</v>
      </c>
      <c r="AX66" s="155">
        <v>665561.5</v>
      </c>
      <c r="AY66" s="155">
        <v>722758.875</v>
      </c>
      <c r="AZ66" s="155">
        <v>828502.25</v>
      </c>
      <c r="BA66" s="155">
        <v>935985</v>
      </c>
      <c r="BB66" s="155">
        <v>1044558</v>
      </c>
      <c r="BC66" s="336">
        <f>SUM(AQ66:BB66)</f>
        <v>10751667.137499999</v>
      </c>
      <c r="BD66" s="174"/>
      <c r="BI66" s="218"/>
    </row>
    <row r="67" spans="2:64" s="173" customFormat="1" x14ac:dyDescent="0.2">
      <c r="B67" s="186" t="s">
        <v>67</v>
      </c>
      <c r="C67" s="175" t="s">
        <v>66</v>
      </c>
      <c r="D67" s="265">
        <v>751036</v>
      </c>
      <c r="E67" s="155">
        <v>702606</v>
      </c>
      <c r="F67" s="155">
        <v>726765</v>
      </c>
      <c r="G67" s="265">
        <v>530004</v>
      </c>
      <c r="H67" s="155">
        <v>298186</v>
      </c>
      <c r="I67" s="155">
        <v>191665</v>
      </c>
      <c r="J67" s="155">
        <v>143351</v>
      </c>
      <c r="K67" s="155">
        <v>169336</v>
      </c>
      <c r="L67" s="155">
        <v>351461</v>
      </c>
      <c r="M67" s="155">
        <v>520754</v>
      </c>
      <c r="N67" s="155">
        <v>667326</v>
      </c>
      <c r="O67" s="155">
        <v>787881</v>
      </c>
      <c r="P67" s="335">
        <f t="shared" si="106"/>
        <v>5840371</v>
      </c>
      <c r="Q67" s="385">
        <v>794674</v>
      </c>
      <c r="R67" s="155">
        <v>718712</v>
      </c>
      <c r="S67" s="155">
        <v>685561</v>
      </c>
      <c r="T67" s="265">
        <v>528164</v>
      </c>
      <c r="U67" s="155">
        <v>289332</v>
      </c>
      <c r="V67" s="155">
        <v>165021</v>
      </c>
      <c r="W67" s="155">
        <v>131126</v>
      </c>
      <c r="X67" s="155">
        <v>126772</v>
      </c>
      <c r="Y67" s="155">
        <v>310021</v>
      </c>
      <c r="Z67" s="155">
        <v>554598</v>
      </c>
      <c r="AA67" s="155">
        <v>687491</v>
      </c>
      <c r="AB67" s="155">
        <v>830124</v>
      </c>
      <c r="AC67" s="338">
        <f t="shared" si="107"/>
        <v>5821596</v>
      </c>
      <c r="AD67" s="386">
        <v>801213</v>
      </c>
      <c r="AE67" s="155">
        <v>679630</v>
      </c>
      <c r="AF67" s="155">
        <v>733988</v>
      </c>
      <c r="AG67" s="405">
        <v>439132</v>
      </c>
      <c r="AH67" s="155">
        <v>218177</v>
      </c>
      <c r="AI67" s="155">
        <v>186396</v>
      </c>
      <c r="AJ67" s="155">
        <v>123211</v>
      </c>
      <c r="AK67" s="155">
        <v>139199</v>
      </c>
      <c r="AL67" s="155">
        <v>206171</v>
      </c>
      <c r="AM67" s="155">
        <v>609779</v>
      </c>
      <c r="AN67" s="155">
        <v>653721</v>
      </c>
      <c r="AO67" s="155">
        <v>836441</v>
      </c>
      <c r="AP67" s="338">
        <f t="shared" si="108"/>
        <v>5627058</v>
      </c>
      <c r="AQ67" s="386">
        <v>731722</v>
      </c>
      <c r="AR67" s="155">
        <v>712206</v>
      </c>
      <c r="AS67" s="155">
        <v>770617</v>
      </c>
      <c r="AT67" s="405">
        <v>549888</v>
      </c>
      <c r="AU67" s="155">
        <v>323532</v>
      </c>
      <c r="AV67" s="155">
        <v>173028</v>
      </c>
      <c r="AW67" s="155">
        <v>159325</v>
      </c>
      <c r="AX67" s="155">
        <v>161374</v>
      </c>
      <c r="AY67" s="155">
        <v>211052</v>
      </c>
      <c r="AZ67" s="155">
        <v>503191</v>
      </c>
      <c r="BA67" s="155">
        <v>635230</v>
      </c>
      <c r="BB67" s="155">
        <v>781391</v>
      </c>
      <c r="BC67" s="336">
        <f>SUM(AQ67:BB67)</f>
        <v>5712556</v>
      </c>
      <c r="BD67" s="174"/>
    </row>
    <row r="68" spans="2:64" s="173" customFormat="1" x14ac:dyDescent="0.2">
      <c r="B68" s="117" t="s">
        <v>68</v>
      </c>
      <c r="C68" s="175" t="s">
        <v>43</v>
      </c>
      <c r="D68" s="152">
        <f>(D77-D69*D64-D72*(D66-D67)/1000*(1-D78)-D71*D67/1000*(1-D78))/(D63-D64)</f>
        <v>168.48283202091591</v>
      </c>
      <c r="E68" s="152">
        <f t="shared" ref="E68:O68" si="109">(E77-E69*E64-E72*(E66-E67)/1000*(1-E78)-E71*E67/1000*(1-E78))/(E63-E64)</f>
        <v>168.18453396004358</v>
      </c>
      <c r="F68" s="152">
        <f t="shared" si="109"/>
        <v>168.52021021398338</v>
      </c>
      <c r="G68" s="152">
        <f t="shared" si="109"/>
        <v>165.4155061693599</v>
      </c>
      <c r="H68" s="152">
        <f t="shared" si="109"/>
        <v>171.10191985848627</v>
      </c>
      <c r="I68" s="152">
        <f t="shared" si="109"/>
        <v>174.77524319535195</v>
      </c>
      <c r="J68" s="152">
        <f t="shared" si="109"/>
        <v>177.23269196589857</v>
      </c>
      <c r="K68" s="152">
        <f t="shared" si="109"/>
        <v>178.25892600170593</v>
      </c>
      <c r="L68" s="152">
        <f t="shared" si="109"/>
        <v>172.28070836648709</v>
      </c>
      <c r="M68" s="152">
        <f t="shared" si="109"/>
        <v>167.40157551434245</v>
      </c>
      <c r="N68" s="152">
        <f t="shared" si="109"/>
        <v>166.52849386715152</v>
      </c>
      <c r="O68" s="152">
        <f t="shared" si="109"/>
        <v>168.66160184799861</v>
      </c>
      <c r="P68" s="66" cm="1">
        <f t="array" ref="P68">SUMPRODUCT(D68:O68,D63:O63-D64:O64-D65:O65)/(P63-P64-P65)</f>
        <v>168.99090758784837</v>
      </c>
      <c r="Q68" s="370">
        <f>(Q77-Q69*Q64-Q72*(Q66-Q67)/1000*(1-Q78)-Q71*Q67/1000*(1-Q78))/(Q63-Q64)</f>
        <v>169.39943805755334</v>
      </c>
      <c r="R68" s="171">
        <f t="shared" ref="R68:AB68" si="110">(R77-R69*R64-R72*(R66-R67)/1000*(1-R78)-R71*R67/1000*(1-R78))/(R63-R64)</f>
        <v>166.51666104051151</v>
      </c>
      <c r="S68" s="171">
        <f t="shared" si="110"/>
        <v>170.01593165824045</v>
      </c>
      <c r="T68" s="171">
        <f t="shared" si="110"/>
        <v>167.15637953618736</v>
      </c>
      <c r="U68" s="171">
        <f t="shared" si="110"/>
        <v>171.75605504140097</v>
      </c>
      <c r="V68" s="171">
        <f t="shared" si="110"/>
        <v>178.40582811925586</v>
      </c>
      <c r="W68" s="171">
        <f t="shared" si="110"/>
        <v>180.95792495242591</v>
      </c>
      <c r="X68" s="171">
        <f t="shared" si="110"/>
        <v>181.50184808320608</v>
      </c>
      <c r="Y68" s="171">
        <f t="shared" si="110"/>
        <v>172.79943841496723</v>
      </c>
      <c r="Z68" s="171">
        <f t="shared" si="110"/>
        <v>168.6025535129273</v>
      </c>
      <c r="AA68" s="171">
        <f t="shared" si="110"/>
        <v>169.76196588187867</v>
      </c>
      <c r="AB68" s="171">
        <f t="shared" si="110"/>
        <v>166.43518190593852</v>
      </c>
      <c r="AC68" s="65">
        <f>SUMPRODUCT(Q68:AB68,Q63:AB63-Q64:AB64-Q65:AB65)/(AC63-AC64-AC65)</f>
        <v>169.74523110993402</v>
      </c>
      <c r="AD68" s="370">
        <f>(AD77-AD69*AD64-AD72*(AD66-AD67)/1000*(1-AD78)-AD71*AD67/1000*(1-AD78))/(AD63-AD64)</f>
        <v>168.87979128151258</v>
      </c>
      <c r="AE68" s="171">
        <f t="shared" ref="AE68:AO68" si="111">(AE77-AE69*AE64-AE72*(AE66-AE67)/1000*(1-AE78)-AE71*AE67/1000*(1-AE78))/(AE63-AE64)</f>
        <v>168.85356963474058</v>
      </c>
      <c r="AF68" s="171">
        <f t="shared" si="111"/>
        <v>167.46916096104019</v>
      </c>
      <c r="AG68" s="171">
        <f t="shared" si="111"/>
        <v>166.59518848675756</v>
      </c>
      <c r="AH68" s="171">
        <f t="shared" si="111"/>
        <v>177.58546490524512</v>
      </c>
      <c r="AI68" s="171">
        <f t="shared" si="111"/>
        <v>176.56587472447589</v>
      </c>
      <c r="AJ68" s="171">
        <f t="shared" si="111"/>
        <v>183.94611960766915</v>
      </c>
      <c r="AK68" s="171">
        <f t="shared" si="111"/>
        <v>182.17597147933358</v>
      </c>
      <c r="AL68" s="171">
        <f t="shared" si="111"/>
        <v>176.93807193926932</v>
      </c>
      <c r="AM68" s="171">
        <f t="shared" si="111"/>
        <v>169.88659437097138</v>
      </c>
      <c r="AN68" s="171">
        <f t="shared" si="111"/>
        <v>170.08130564208966</v>
      </c>
      <c r="AO68" s="171">
        <f t="shared" si="111"/>
        <v>168.12581547948901</v>
      </c>
      <c r="AP68" s="65">
        <f>SUMPRODUCT(AD68:AO68,AD63:AO63-AD64:AO64)/(AP63-AP64)</f>
        <v>170.36310973714384</v>
      </c>
      <c r="AQ68" s="370">
        <f>(AQ77-AQ69*AQ64-AQ72*(AQ66-AQ67)/1000*(1-AQ78)-AQ71*AQ67/1000*(1-AQ78))/(AQ63-AQ64)</f>
        <v>169.06443509810794</v>
      </c>
      <c r="AR68" s="171">
        <f t="shared" ref="AR68:BB68" si="112">(AR77-AR69*AR64-AR72*(AR66-AR67)/1000*(1-AR78)-AR71*AR67/1000*(1-AR78))/(AR63-AR64)</f>
        <v>168.41489087642256</v>
      </c>
      <c r="AS68" s="171">
        <f t="shared" si="112"/>
        <v>166.47178800364958</v>
      </c>
      <c r="AT68" s="171">
        <f t="shared" si="112"/>
        <v>166.55403372453483</v>
      </c>
      <c r="AU68" s="171">
        <f t="shared" si="112"/>
        <v>175.84420519584535</v>
      </c>
      <c r="AV68" s="171">
        <f t="shared" si="112"/>
        <v>180.51620998700261</v>
      </c>
      <c r="AW68" s="171">
        <f t="shared" si="112"/>
        <v>181.85958323077278</v>
      </c>
      <c r="AX68" s="171">
        <f t="shared" si="112"/>
        <v>181.43195940037052</v>
      </c>
      <c r="AY68" s="171">
        <f t="shared" si="112"/>
        <v>175.32330070417817</v>
      </c>
      <c r="AZ68" s="171">
        <f t="shared" si="112"/>
        <v>171.79514391657668</v>
      </c>
      <c r="BA68" s="171">
        <f t="shared" si="112"/>
        <v>168.34322139602978</v>
      </c>
      <c r="BB68" s="171">
        <f t="shared" si="112"/>
        <v>167.3067963161227</v>
      </c>
      <c r="BC68" s="66">
        <f>SUMPRODUCT(AQ68:BB68,AQ63:BB63-AQ64:BB64-AQ65:BB65)/(BC63-BC64-BC65)</f>
        <v>170.0307640847507</v>
      </c>
      <c r="BD68" s="174"/>
    </row>
    <row r="69" spans="2:64" s="173" customFormat="1" x14ac:dyDescent="0.2">
      <c r="B69" s="117" t="s">
        <v>69</v>
      </c>
      <c r="C69" s="175" t="s">
        <v>43</v>
      </c>
      <c r="D69" s="176">
        <v>155.03267370171105</v>
      </c>
      <c r="E69" s="152">
        <v>155.46687893197034</v>
      </c>
      <c r="F69" s="152">
        <v>153.36821945076983</v>
      </c>
      <c r="G69" s="176">
        <v>150.96499543885383</v>
      </c>
      <c r="H69" s="152">
        <v>151.37443746954452</v>
      </c>
      <c r="I69" s="152">
        <v>0</v>
      </c>
      <c r="J69" s="152">
        <v>0</v>
      </c>
      <c r="K69" s="152">
        <v>153.63030515607537</v>
      </c>
      <c r="L69" s="152">
        <v>152.06422018348621</v>
      </c>
      <c r="M69" s="152">
        <v>151.93869888729608</v>
      </c>
      <c r="N69" s="152">
        <v>153.64570625494082</v>
      </c>
      <c r="O69" s="152">
        <v>154.79609540814607</v>
      </c>
      <c r="P69" s="335">
        <f>SUMPRODUCT(D69:O69,D64:O64)/P64</f>
        <v>154.41904443479837</v>
      </c>
      <c r="Q69" s="387">
        <v>154.47553462355378</v>
      </c>
      <c r="R69" s="171">
        <v>153.54487107866871</v>
      </c>
      <c r="S69" s="171">
        <v>153.5494312440517</v>
      </c>
      <c r="T69" s="272">
        <v>151.63938351899921</v>
      </c>
      <c r="U69" s="171">
        <v>151.87861818457</v>
      </c>
      <c r="V69" s="171">
        <v>0</v>
      </c>
      <c r="W69" s="171">
        <v>0</v>
      </c>
      <c r="X69" s="171">
        <v>153.31278890601672</v>
      </c>
      <c r="Y69" s="171">
        <v>149.81273408239699</v>
      </c>
      <c r="Z69" s="171">
        <v>153.97641013663434</v>
      </c>
      <c r="AA69" s="171">
        <v>155.59823427678347</v>
      </c>
      <c r="AB69" s="171">
        <v>152.61164155204762</v>
      </c>
      <c r="AC69" s="340">
        <f>SUMPRODUCT(Q69:AB69,Q64:AB64)/AC64</f>
        <v>153.7621749069578</v>
      </c>
      <c r="AD69" s="388">
        <v>153.98541210344371</v>
      </c>
      <c r="AE69" s="171">
        <v>152.9095922839731</v>
      </c>
      <c r="AF69" s="171">
        <v>151.65323275449444</v>
      </c>
      <c r="AG69" s="406">
        <v>149.25343964978111</v>
      </c>
      <c r="AH69" s="171">
        <v>150.22779848149167</v>
      </c>
      <c r="AI69" s="171">
        <v>0</v>
      </c>
      <c r="AJ69" s="171">
        <v>0</v>
      </c>
      <c r="AK69" s="171">
        <v>155.22566222314165</v>
      </c>
      <c r="AL69" s="171">
        <v>0</v>
      </c>
      <c r="AM69" s="171">
        <v>153.99664364626486</v>
      </c>
      <c r="AN69" s="171">
        <v>155.52247920006104</v>
      </c>
      <c r="AO69" s="171">
        <v>154.15112508048128</v>
      </c>
      <c r="AP69" s="340">
        <f>SUMPRODUCT(AD69:AO69,AD64:AO64)/AP64</f>
        <v>153.6576921297428</v>
      </c>
      <c r="AQ69" s="388">
        <v>154.11348704473616</v>
      </c>
      <c r="AR69" s="171">
        <v>153.49673730083703</v>
      </c>
      <c r="AS69" s="171">
        <v>151.46125745049028</v>
      </c>
      <c r="AT69" s="406">
        <v>149.24469146358842</v>
      </c>
      <c r="AU69" s="171">
        <v>150.28169393751514</v>
      </c>
      <c r="AV69" s="171">
        <v>0</v>
      </c>
      <c r="AW69" s="171">
        <v>0</v>
      </c>
      <c r="AX69" s="171">
        <v>151.37787844469608</v>
      </c>
      <c r="AY69" s="171">
        <v>0</v>
      </c>
      <c r="AZ69" s="171">
        <v>150.86350300940629</v>
      </c>
      <c r="BA69" s="171">
        <v>151.74980072071145</v>
      </c>
      <c r="BB69" s="171">
        <v>152.56983201872714</v>
      </c>
      <c r="BC69" s="66">
        <f>SUMPRODUCT(AQ64:BB64,AQ69:BB69)/BC64</f>
        <v>152.82165707480337</v>
      </c>
      <c r="BD69" s="174"/>
    </row>
    <row r="70" spans="2:64" s="223" customFormat="1" ht="33" customHeight="1" x14ac:dyDescent="0.25">
      <c r="B70" s="181" t="s">
        <v>70</v>
      </c>
      <c r="C70" s="175" t="s">
        <v>43</v>
      </c>
      <c r="D70" s="176">
        <v>168.48283202091591</v>
      </c>
      <c r="E70" s="159">
        <v>168.18453396004358</v>
      </c>
      <c r="F70" s="159">
        <v>168.52021021398338</v>
      </c>
      <c r="G70" s="176">
        <v>165.4155061693599</v>
      </c>
      <c r="H70" s="159">
        <v>171.10191985848627</v>
      </c>
      <c r="I70" s="159">
        <v>174.77524319535195</v>
      </c>
      <c r="J70" s="159">
        <v>177.23269196589857</v>
      </c>
      <c r="K70" s="159">
        <v>178.25892600170593</v>
      </c>
      <c r="L70" s="159">
        <v>172.28070836648709</v>
      </c>
      <c r="M70" s="159">
        <v>167.40157551434245</v>
      </c>
      <c r="N70" s="159">
        <v>166.52849386715152</v>
      </c>
      <c r="O70" s="159">
        <v>168.66160184799861</v>
      </c>
      <c r="P70" s="337">
        <f>SUMPRODUCT(D70:O70,D63:O63-D64:O64-D65:O65)/(P63-P64-P65)</f>
        <v>168.99090758784837</v>
      </c>
      <c r="Q70" s="381">
        <v>169.39943805755334</v>
      </c>
      <c r="R70" s="159">
        <v>166.51666104051151</v>
      </c>
      <c r="S70" s="159">
        <v>170.01593165824045</v>
      </c>
      <c r="T70" s="176">
        <v>167.15637953618736</v>
      </c>
      <c r="U70" s="159">
        <v>171.75605504140097</v>
      </c>
      <c r="V70" s="159">
        <v>178.40582811925586</v>
      </c>
      <c r="W70" s="159">
        <v>180.95792495242591</v>
      </c>
      <c r="X70" s="159">
        <v>181.50184808320608</v>
      </c>
      <c r="Y70" s="159">
        <v>172.79943841496723</v>
      </c>
      <c r="Z70" s="159">
        <v>168.6025535129273</v>
      </c>
      <c r="AA70" s="159">
        <v>169.76196588187867</v>
      </c>
      <c r="AB70" s="159">
        <v>166.43518190593852</v>
      </c>
      <c r="AC70" s="339">
        <f>SUMPRODUCT(Q70:AB70,Q63:AB63-Q64:AB64-Q65:AB65)/(AC63-AC64-AC65)</f>
        <v>169.74523110993402</v>
      </c>
      <c r="AD70" s="382">
        <v>168.87979128151258</v>
      </c>
      <c r="AE70" s="159">
        <v>168.85356963474058</v>
      </c>
      <c r="AF70" s="159">
        <v>167.46916096104019</v>
      </c>
      <c r="AG70" s="177">
        <v>166.59518848675756</v>
      </c>
      <c r="AH70" s="159">
        <v>177.58546490524512</v>
      </c>
      <c r="AI70" s="159">
        <v>176.56587472447589</v>
      </c>
      <c r="AJ70" s="159">
        <v>183.94611960766915</v>
      </c>
      <c r="AK70" s="159">
        <v>182.17597147933358</v>
      </c>
      <c r="AL70" s="159">
        <v>176.93807193926932</v>
      </c>
      <c r="AM70" s="159">
        <v>169.88659437097138</v>
      </c>
      <c r="AN70" s="159">
        <v>170.08130564208966</v>
      </c>
      <c r="AO70" s="159">
        <v>168.12581547948901</v>
      </c>
      <c r="AP70" s="337">
        <f>SUMPRODUCT(AD70:AO70,AD63:AO63-AD64:AO64-AD65:AO65)/(AP63-AP64-AP65)</f>
        <v>170.36310973714384</v>
      </c>
      <c r="AQ70" s="382">
        <v>169.06443509810794</v>
      </c>
      <c r="AR70" s="159">
        <v>168.41489087642256</v>
      </c>
      <c r="AS70" s="159">
        <v>166.47178800364958</v>
      </c>
      <c r="AT70" s="177">
        <v>166.55403372453483</v>
      </c>
      <c r="AU70" s="159">
        <v>175.84420519584535</v>
      </c>
      <c r="AV70" s="159">
        <v>180.51620998700261</v>
      </c>
      <c r="AW70" s="159">
        <v>181.85958323077278</v>
      </c>
      <c r="AX70" s="159">
        <v>181.43195940037052</v>
      </c>
      <c r="AY70" s="159">
        <v>175.32330070417817</v>
      </c>
      <c r="AZ70" s="159">
        <v>171.79514391657668</v>
      </c>
      <c r="BA70" s="159">
        <v>168.34322139602978</v>
      </c>
      <c r="BB70" s="159">
        <v>167.3067963161227</v>
      </c>
      <c r="BC70" s="337">
        <f>SUMPRODUCT(AQ70:BB70,AQ63:BB63-AQ64:BB64-AQ65:BB65)/(BC63-BC64-BC65)</f>
        <v>170.0307640847507</v>
      </c>
      <c r="BD70" s="182"/>
    </row>
    <row r="71" spans="2:64" s="223" customFormat="1" x14ac:dyDescent="0.25">
      <c r="B71" s="181" t="s">
        <v>71</v>
      </c>
      <c r="C71" s="175" t="s">
        <v>72</v>
      </c>
      <c r="D71" s="220">
        <v>151.8596987394489</v>
      </c>
      <c r="E71" s="163">
        <v>153.85422412166687</v>
      </c>
      <c r="F71" s="163">
        <v>150.55054423354869</v>
      </c>
      <c r="G71" s="220">
        <v>147.07400350169601</v>
      </c>
      <c r="H71" s="163">
        <v>147.54904779261176</v>
      </c>
      <c r="I71" s="163">
        <v>146.25240801519203</v>
      </c>
      <c r="J71" s="163">
        <v>148.2404144149246</v>
      </c>
      <c r="K71" s="163">
        <v>147.28367338848884</v>
      </c>
      <c r="L71" s="159">
        <v>150.25773818776975</v>
      </c>
      <c r="M71" s="159">
        <v>149.24854617113763</v>
      </c>
      <c r="N71" s="159">
        <v>149.110568211394</v>
      </c>
      <c r="O71" s="159">
        <v>152.92978329127465</v>
      </c>
      <c r="P71" s="371">
        <f>IF(P67=0,0,SUMPRODUCT(D71:O71,D67:O67)/P67)</f>
        <v>150.37784209326924</v>
      </c>
      <c r="Q71" s="389">
        <v>152.45492321165861</v>
      </c>
      <c r="R71" s="390">
        <v>152.27560769507014</v>
      </c>
      <c r="S71" s="390">
        <v>153.38716120235264</v>
      </c>
      <c r="T71" s="407">
        <v>153.89705401793347</v>
      </c>
      <c r="U71" s="390">
        <v>154.40260141379269</v>
      </c>
      <c r="V71" s="390">
        <v>156.18040353974521</v>
      </c>
      <c r="W71" s="390">
        <v>156.26953137643</v>
      </c>
      <c r="X71" s="390">
        <v>156.11460759497032</v>
      </c>
      <c r="Y71" s="183">
        <v>150.10524944409099</v>
      </c>
      <c r="Z71" s="183">
        <v>148.48891400819957</v>
      </c>
      <c r="AA71" s="183">
        <v>150.77783609828572</v>
      </c>
      <c r="AB71" s="183">
        <v>152.33310458453937</v>
      </c>
      <c r="AC71" s="372">
        <f>IF(AC67=0,0,SUMPRODUCT(Q71:AB71,Q67:AB67)/AC67)</f>
        <v>152.32304588152573</v>
      </c>
      <c r="AD71" s="389">
        <v>152.3623540452237</v>
      </c>
      <c r="AE71" s="390">
        <v>152.86864856755443</v>
      </c>
      <c r="AF71" s="390">
        <v>151.33368001693012</v>
      </c>
      <c r="AG71" s="407">
        <v>148.5634751152096</v>
      </c>
      <c r="AH71" s="390">
        <v>153.91714024874835</v>
      </c>
      <c r="AI71" s="390">
        <v>150.15314667083095</v>
      </c>
      <c r="AJ71" s="390">
        <v>157.52308986160568</v>
      </c>
      <c r="AK71" s="390">
        <v>157.14855608140491</v>
      </c>
      <c r="AL71" s="183">
        <v>150.64060900248617</v>
      </c>
      <c r="AM71" s="183">
        <v>148.46917667654134</v>
      </c>
      <c r="AN71" s="183">
        <v>154.75578049731362</v>
      </c>
      <c r="AO71" s="183">
        <v>151.54061699436113</v>
      </c>
      <c r="AP71" s="372">
        <f>IF(AP67=0,0,SUMPRODUCT(AD71:AO71,AD67:AO67)/AP67)</f>
        <v>151.88230234754002</v>
      </c>
      <c r="AQ71" s="389">
        <v>151.9968530914814</v>
      </c>
      <c r="AR71" s="390">
        <v>151.06792402372633</v>
      </c>
      <c r="AS71" s="390">
        <v>151.19667969919067</v>
      </c>
      <c r="AT71" s="407">
        <v>148.73368424269913</v>
      </c>
      <c r="AU71" s="390">
        <v>154.58866836003264</v>
      </c>
      <c r="AV71" s="390">
        <v>151.97389445436892</v>
      </c>
      <c r="AW71" s="390">
        <v>145.24017335174423</v>
      </c>
      <c r="AX71" s="390">
        <v>146.88995370806487</v>
      </c>
      <c r="AY71" s="183">
        <v>146.47085745031742</v>
      </c>
      <c r="AZ71" s="183">
        <v>148.38510103210166</v>
      </c>
      <c r="BA71" s="183">
        <v>152.35838087673571</v>
      </c>
      <c r="BB71" s="183">
        <v>152.63691021622617</v>
      </c>
      <c r="BC71" s="371">
        <f>IF(BC67=0,0,SUMPRODUCT(AQ71:BB71,AQ67:BB67)/BC67)</f>
        <v>150.87781899402873</v>
      </c>
      <c r="BD71" s="182"/>
    </row>
    <row r="72" spans="2:64" s="223" customFormat="1" x14ac:dyDescent="0.25">
      <c r="B72" s="181" t="s">
        <v>73</v>
      </c>
      <c r="C72" s="175" t="s">
        <v>72</v>
      </c>
      <c r="D72" s="220">
        <v>370.5886714436063</v>
      </c>
      <c r="E72" s="163">
        <v>390.68260735951077</v>
      </c>
      <c r="F72" s="163">
        <v>357.62855586333467</v>
      </c>
      <c r="G72" s="220">
        <v>313.62637653057806</v>
      </c>
      <c r="H72" s="163">
        <v>311.53001595438508</v>
      </c>
      <c r="I72" s="163">
        <v>329.11299390491638</v>
      </c>
      <c r="J72" s="163">
        <v>339.30514217406687</v>
      </c>
      <c r="K72" s="163">
        <v>331.49885235970697</v>
      </c>
      <c r="L72" s="159">
        <v>316.02245459970783</v>
      </c>
      <c r="M72" s="159">
        <v>322.08122447955856</v>
      </c>
      <c r="N72" s="159">
        <v>351.57214534547091</v>
      </c>
      <c r="O72" s="159">
        <v>385.41374174543722</v>
      </c>
      <c r="P72" s="371">
        <f>IF((P66-P67)=0,0,SUMPRODUCT(D72:O72,(D66:O66-D67:O67))/(P66-P67))</f>
        <v>340.12404533919079</v>
      </c>
      <c r="Q72" s="389">
        <v>381.19704690659586</v>
      </c>
      <c r="R72" s="390">
        <v>386.20421254694713</v>
      </c>
      <c r="S72" s="390">
        <v>413.83290562331729</v>
      </c>
      <c r="T72" s="407">
        <v>445.26630907488106</v>
      </c>
      <c r="U72" s="390">
        <v>413.05784204068453</v>
      </c>
      <c r="V72" s="390">
        <v>421.29853872509051</v>
      </c>
      <c r="W72" s="390">
        <v>341.5138696125324</v>
      </c>
      <c r="X72" s="390">
        <v>338.46890002397379</v>
      </c>
      <c r="Y72" s="183">
        <v>331.58028273816984</v>
      </c>
      <c r="Z72" s="183">
        <v>329.72949864065248</v>
      </c>
      <c r="AA72" s="183">
        <v>364.96187482504854</v>
      </c>
      <c r="AB72" s="183">
        <v>386.95116784911642</v>
      </c>
      <c r="AC72" s="372">
        <f>IF((AC66-AC67)=0,0,SUMPRODUCT(Q72:AB72,(Q66:AB66-Q67:AB67))/(AC66-AC67))</f>
        <v>364.9355255638086</v>
      </c>
      <c r="AD72" s="389">
        <v>371.76810415702357</v>
      </c>
      <c r="AE72" s="390">
        <v>354.6096969489916</v>
      </c>
      <c r="AF72" s="390">
        <v>353.21189472963692</v>
      </c>
      <c r="AG72" s="407">
        <v>326.12660984085397</v>
      </c>
      <c r="AH72" s="390">
        <v>314.83067469152905</v>
      </c>
      <c r="AI72" s="390">
        <v>312.37560181802974</v>
      </c>
      <c r="AJ72" s="390">
        <v>328.86251078570973</v>
      </c>
      <c r="AK72" s="390">
        <v>341.90649781563042</v>
      </c>
      <c r="AL72" s="183">
        <v>342.32070128073815</v>
      </c>
      <c r="AM72" s="183">
        <v>345.56606743749654</v>
      </c>
      <c r="AN72" s="183">
        <v>390.64679969898623</v>
      </c>
      <c r="AO72" s="183">
        <v>376.57976396691271</v>
      </c>
      <c r="AP72" s="373">
        <f>IF((AP66-AP67)=0,0,SUMPRODUCT(AD72:AO72,(AD66:AO66-AD67:AO67))/(AP66-AP67))</f>
        <v>342.5276605711677</v>
      </c>
      <c r="AQ72" s="389">
        <v>343.10533355416987</v>
      </c>
      <c r="AR72" s="390">
        <v>332.32826480052216</v>
      </c>
      <c r="AS72" s="390">
        <v>357.94754454169527</v>
      </c>
      <c r="AT72" s="407">
        <v>347.95407534712803</v>
      </c>
      <c r="AU72" s="390">
        <v>331.62645612718484</v>
      </c>
      <c r="AV72" s="390">
        <v>353.66270658987037</v>
      </c>
      <c r="AW72" s="390">
        <v>382.39506982823667</v>
      </c>
      <c r="AX72" s="390">
        <v>349.53351807324793</v>
      </c>
      <c r="AY72" s="183">
        <v>356.54288370766005</v>
      </c>
      <c r="AZ72" s="183">
        <v>373.05079086337605</v>
      </c>
      <c r="BA72" s="183">
        <v>377.182812307929</v>
      </c>
      <c r="BB72" s="183">
        <v>410.88422442491958</v>
      </c>
      <c r="BC72" s="371">
        <f>IF((BC66-BC67)=0,0,SUMPRODUCT(AQ72:BB72,(AQ66:BB66-AQ67:BB67))/(BC66-BC67))</f>
        <v>357.93457293935194</v>
      </c>
      <c r="BD72" s="182"/>
    </row>
    <row r="73" spans="2:64" s="223" customFormat="1" ht="18" customHeight="1" x14ac:dyDescent="0.25">
      <c r="B73" s="165" t="s">
        <v>74</v>
      </c>
      <c r="C73" s="206" t="s">
        <v>75</v>
      </c>
      <c r="D73" s="159">
        <f>D67/(D63-D64-D65)</f>
        <v>750.98408822490148</v>
      </c>
      <c r="E73" s="159">
        <f t="shared" ref="E73:O73" si="113">E67/(E63-E64-E65)</f>
        <v>787.23206985308445</v>
      </c>
      <c r="F73" s="159">
        <f t="shared" si="113"/>
        <v>778.04851154121604</v>
      </c>
      <c r="G73" s="159">
        <f t="shared" si="113"/>
        <v>753.0543761542159</v>
      </c>
      <c r="H73" s="159">
        <f t="shared" si="113"/>
        <v>770.21986650961912</v>
      </c>
      <c r="I73" s="159">
        <f t="shared" si="113"/>
        <v>699.55325532334234</v>
      </c>
      <c r="J73" s="159">
        <f t="shared" si="113"/>
        <v>689.87737737737734</v>
      </c>
      <c r="K73" s="159">
        <f t="shared" si="113"/>
        <v>725.51842406653179</v>
      </c>
      <c r="L73" s="183">
        <f t="shared" si="113"/>
        <v>687.20812585007718</v>
      </c>
      <c r="M73" s="183">
        <f t="shared" si="113"/>
        <v>696.85203775383536</v>
      </c>
      <c r="N73" s="159">
        <f t="shared" si="113"/>
        <v>731.4859091959147</v>
      </c>
      <c r="O73" s="159">
        <f t="shared" si="113"/>
        <v>757.92046101991718</v>
      </c>
      <c r="P73" s="335">
        <f t="shared" ref="P73" si="114">IF((P63-P64-P65)=0,0,P67/(P63-P64-P65))</f>
        <v>744.62920610245203</v>
      </c>
      <c r="Q73" s="295">
        <f>Q67/(Q63-Q64-Q65)</f>
        <v>758.7478579852899</v>
      </c>
      <c r="R73" s="159">
        <f t="shared" ref="R73:AB73" si="115">R67/(R63-R64-R65)</f>
        <v>776.46120506938485</v>
      </c>
      <c r="S73" s="159">
        <f t="shared" si="115"/>
        <v>729.88713707016313</v>
      </c>
      <c r="T73" s="159">
        <f t="shared" si="115"/>
        <v>660.76613499119946</v>
      </c>
      <c r="U73" s="159">
        <f t="shared" si="115"/>
        <v>623.84185199276556</v>
      </c>
      <c r="V73" s="159">
        <f t="shared" si="115"/>
        <v>600.65080422367566</v>
      </c>
      <c r="W73" s="159">
        <f t="shared" si="115"/>
        <v>604.72705306403384</v>
      </c>
      <c r="X73" s="159">
        <f t="shared" si="115"/>
        <v>597.68819979928878</v>
      </c>
      <c r="Y73" s="183">
        <f t="shared" si="115"/>
        <v>666.68736483190867</v>
      </c>
      <c r="Z73" s="183">
        <f t="shared" si="115"/>
        <v>707.84356613538318</v>
      </c>
      <c r="AA73" s="159">
        <f t="shared" si="115"/>
        <v>746.06763795318818</v>
      </c>
      <c r="AB73" s="159">
        <f t="shared" si="115"/>
        <v>760.80625282449375</v>
      </c>
      <c r="AC73" s="340">
        <f>IF((AC63-AC64-AC65)=0,0,AC67/(AC63-AC64-AC65))</f>
        <v>715.17067834305055</v>
      </c>
      <c r="AD73" s="295">
        <f>AD67/(AD63-AD64-AD65)</f>
        <v>734.11758884951018</v>
      </c>
      <c r="AE73" s="159">
        <f t="shared" ref="AE73:AO73" si="116">AE67/(AE63-AE64-AE65)</f>
        <v>679.92236661764559</v>
      </c>
      <c r="AF73" s="159">
        <f t="shared" si="116"/>
        <v>744.40162036772927</v>
      </c>
      <c r="AG73" s="159">
        <f t="shared" si="116"/>
        <v>702.39416020449676</v>
      </c>
      <c r="AH73" s="159">
        <f t="shared" si="116"/>
        <v>707.67528953357294</v>
      </c>
      <c r="AI73" s="159">
        <f t="shared" si="116"/>
        <v>703.50324962068885</v>
      </c>
      <c r="AJ73" s="159">
        <f t="shared" si="116"/>
        <v>567.00352504808973</v>
      </c>
      <c r="AK73" s="159">
        <f t="shared" si="116"/>
        <v>614.20720660630229</v>
      </c>
      <c r="AL73" s="183">
        <f t="shared" si="116"/>
        <v>663.27909485217833</v>
      </c>
      <c r="AM73" s="183">
        <f t="shared" si="116"/>
        <v>729.87097183531307</v>
      </c>
      <c r="AN73" s="159">
        <f t="shared" si="116"/>
        <v>698.21799653278663</v>
      </c>
      <c r="AO73" s="159">
        <f t="shared" si="116"/>
        <v>735.67101444419654</v>
      </c>
      <c r="AP73" s="340">
        <f>IF((AP63-AP64-AP65)=0,0,AP67/(AP63-AP64-AP65))</f>
        <v>708.79533833631501</v>
      </c>
      <c r="AQ73" s="295">
        <f>AQ67/(AQ63-AQ64-AQ65)</f>
        <v>669.01554127485565</v>
      </c>
      <c r="AR73" s="159">
        <f t="shared" ref="AR73:BB73" si="117">AR67/(AR63-AR64-AR65)</f>
        <v>693.93284000729784</v>
      </c>
      <c r="AS73" s="159">
        <f t="shared" si="117"/>
        <v>752.79238197948973</v>
      </c>
      <c r="AT73" s="159">
        <f t="shared" si="117"/>
        <v>762.54510007886142</v>
      </c>
      <c r="AU73" s="159">
        <f t="shared" si="117"/>
        <v>704.35969953376161</v>
      </c>
      <c r="AV73" s="159">
        <f t="shared" si="117"/>
        <v>684.75774462013874</v>
      </c>
      <c r="AW73" s="159">
        <f t="shared" si="117"/>
        <v>749.39078192307863</v>
      </c>
      <c r="AX73" s="159">
        <f t="shared" si="117"/>
        <v>735.97386735000737</v>
      </c>
      <c r="AY73" s="183">
        <f t="shared" si="117"/>
        <v>734.06056116146033</v>
      </c>
      <c r="AZ73" s="183">
        <f t="shared" si="117"/>
        <v>780.84520789774194</v>
      </c>
      <c r="BA73" s="159">
        <f t="shared" si="117"/>
        <v>764.79922560511636</v>
      </c>
      <c r="BB73" s="159">
        <f t="shared" si="117"/>
        <v>780.84567690039466</v>
      </c>
      <c r="BC73" s="66">
        <f t="shared" ref="BC73" si="118">BC67/(BC63-BC64-BC65)</f>
        <v>735.0212139538088</v>
      </c>
      <c r="BD73" s="182"/>
    </row>
    <row r="74" spans="2:64" s="173" customFormat="1" x14ac:dyDescent="0.2">
      <c r="B74" s="117" t="s">
        <v>76</v>
      </c>
      <c r="C74" s="175" t="s">
        <v>77</v>
      </c>
      <c r="D74" s="144">
        <f>D64/D63</f>
        <v>0.28043890552609008</v>
      </c>
      <c r="E74" s="144">
        <f t="shared" ref="E74:M74" si="119">E64/E63</f>
        <v>0.39093792475385503</v>
      </c>
      <c r="F74" s="144">
        <f t="shared" si="119"/>
        <v>0.22116061274109253</v>
      </c>
      <c r="G74" s="144">
        <f t="shared" si="119"/>
        <v>0.13709084410964789</v>
      </c>
      <c r="H74" s="144">
        <f t="shared" si="119"/>
        <v>8.2664543599877738E-2</v>
      </c>
      <c r="I74" s="144">
        <f t="shared" si="119"/>
        <v>0</v>
      </c>
      <c r="J74" s="144">
        <f t="shared" si="119"/>
        <v>0</v>
      </c>
      <c r="K74" s="144">
        <f t="shared" si="119"/>
        <v>1.2067674821019276E-2</v>
      </c>
      <c r="L74" s="144">
        <f t="shared" si="119"/>
        <v>1.6764292290731696E-2</v>
      </c>
      <c r="M74" s="144">
        <f t="shared" si="119"/>
        <v>7.270959043387927E-2</v>
      </c>
      <c r="N74" s="144">
        <f>N64/N63</f>
        <v>0.10097351444504257</v>
      </c>
      <c r="O74" s="144">
        <f t="shared" ref="O74" si="120">O64/O63</f>
        <v>0.31359603470000663</v>
      </c>
      <c r="P74" s="331">
        <f t="shared" ref="P74" si="121">IF(P63=0,0,P64/P63)</f>
        <v>0.20497120332618096</v>
      </c>
      <c r="Q74" s="297">
        <f>Q64/Q63</f>
        <v>0.26571589771615289</v>
      </c>
      <c r="R74" s="144">
        <f t="shared" ref="R74:Z74" si="122">R64/R63</f>
        <v>0.1482482615007461</v>
      </c>
      <c r="S74" s="144">
        <f t="shared" si="122"/>
        <v>0.20250339013793303</v>
      </c>
      <c r="T74" s="144">
        <f t="shared" si="122"/>
        <v>0.115521693046753</v>
      </c>
      <c r="U74" s="144">
        <f t="shared" si="122"/>
        <v>5.391257827805241E-2</v>
      </c>
      <c r="V74" s="144">
        <f t="shared" si="122"/>
        <v>0</v>
      </c>
      <c r="W74" s="144">
        <f t="shared" si="122"/>
        <v>0</v>
      </c>
      <c r="X74" s="144">
        <f t="shared" si="122"/>
        <v>1.802796722168748E-2</v>
      </c>
      <c r="Y74" s="144">
        <f t="shared" si="122"/>
        <v>5.7384299510581239E-4</v>
      </c>
      <c r="Z74" s="144">
        <f t="shared" si="122"/>
        <v>2.1390664878282509E-2</v>
      </c>
      <c r="AA74" s="144">
        <f>AA64/AA63</f>
        <v>0.18133426861634641</v>
      </c>
      <c r="AB74" s="144">
        <f t="shared" ref="AB74" si="123">AB64/AB63</f>
        <v>0.18704855885289384</v>
      </c>
      <c r="AC74" s="341">
        <f>IF(AC63=0,0,AC64/AC63)</f>
        <v>0.14548414987211816</v>
      </c>
      <c r="AD74" s="297">
        <f>AD64/AD63</f>
        <v>0.22874391646037812</v>
      </c>
      <c r="AE74" s="144">
        <f t="shared" ref="AE74:AM74" si="124">AE64/AE63</f>
        <v>0.18915235648515064</v>
      </c>
      <c r="AF74" s="144">
        <f t="shared" si="124"/>
        <v>9.5795149397360016E-2</v>
      </c>
      <c r="AG74" s="144">
        <f t="shared" si="124"/>
        <v>7.5651893801554598E-2</v>
      </c>
      <c r="AH74" s="144">
        <f t="shared" si="124"/>
        <v>2.1329596275989405E-3</v>
      </c>
      <c r="AI74" s="144">
        <f t="shared" si="124"/>
        <v>0</v>
      </c>
      <c r="AJ74" s="144">
        <f t="shared" si="124"/>
        <v>0</v>
      </c>
      <c r="AK74" s="144">
        <f t="shared" si="124"/>
        <v>8.5395170248216343E-3</v>
      </c>
      <c r="AL74" s="144">
        <f t="shared" si="124"/>
        <v>0</v>
      </c>
      <c r="AM74" s="144">
        <f t="shared" si="124"/>
        <v>3.8803980792448137E-2</v>
      </c>
      <c r="AN74" s="144">
        <f>AN64/AN63</f>
        <v>0.16380862602270707</v>
      </c>
      <c r="AO74" s="144">
        <f t="shared" ref="AO74" si="125">AO64/AO63</f>
        <v>0.20968021029049186</v>
      </c>
      <c r="AP74" s="331">
        <f>IF(AP63=0,0,AP64/AP63)</f>
        <v>0.13451768789859711</v>
      </c>
      <c r="AQ74" s="297">
        <f>AQ64/AQ63</f>
        <v>0.33209909032782231</v>
      </c>
      <c r="AR74" s="144">
        <f t="shared" ref="AR74:AZ74" si="126">AR64/AR63</f>
        <v>0.22827235484653821</v>
      </c>
      <c r="AS74" s="144">
        <f t="shared" si="126"/>
        <v>5.7464850979200621E-2</v>
      </c>
      <c r="AT74" s="144">
        <f t="shared" si="126"/>
        <v>3.7464464743962207E-2</v>
      </c>
      <c r="AU74" s="144">
        <f t="shared" si="126"/>
        <v>7.4728335622829087E-2</v>
      </c>
      <c r="AV74" s="144">
        <f t="shared" si="126"/>
        <v>0</v>
      </c>
      <c r="AW74" s="144">
        <f t="shared" si="126"/>
        <v>0</v>
      </c>
      <c r="AX74" s="144">
        <f t="shared" si="126"/>
        <v>1.1937006268449145E-2</v>
      </c>
      <c r="AY74" s="144">
        <f t="shared" si="126"/>
        <v>0</v>
      </c>
      <c r="AZ74" s="144">
        <f t="shared" si="126"/>
        <v>0.17028073202869365</v>
      </c>
      <c r="BA74" s="144">
        <f>BA64/BA63</f>
        <v>0.24685101308923071</v>
      </c>
      <c r="BB74" s="144">
        <f t="shared" ref="BB74" si="127">BB64/BB63</f>
        <v>0.22548985746672195</v>
      </c>
      <c r="BC74" s="331">
        <f t="shared" ref="BC74" si="128">BC64/BC63</f>
        <v>0.17717217794506909</v>
      </c>
      <c r="BD74" s="174"/>
    </row>
    <row r="75" spans="2:64" s="173" customFormat="1" x14ac:dyDescent="0.2">
      <c r="B75" s="117" t="s">
        <v>78</v>
      </c>
      <c r="C75" s="175" t="s">
        <v>77</v>
      </c>
      <c r="D75" s="144">
        <f>(D66-D67)/D66</f>
        <v>0.2909547247671993</v>
      </c>
      <c r="E75" s="144">
        <f t="shared" ref="E75:O75" si="129">(E66-E67)/E66</f>
        <v>0.28352063085541102</v>
      </c>
      <c r="F75" s="144">
        <f t="shared" si="129"/>
        <v>0.27115126702547165</v>
      </c>
      <c r="G75" s="144">
        <f t="shared" si="129"/>
        <v>0.32738016392446601</v>
      </c>
      <c r="H75" s="144">
        <f t="shared" si="129"/>
        <v>0.54000736416144735</v>
      </c>
      <c r="I75" s="144">
        <f t="shared" si="129"/>
        <v>0.72759043979810367</v>
      </c>
      <c r="J75" s="144">
        <f t="shared" si="129"/>
        <v>0.79533041423618023</v>
      </c>
      <c r="K75" s="144">
        <f t="shared" si="129"/>
        <v>0.77038341918677344</v>
      </c>
      <c r="L75" s="144">
        <f t="shared" si="129"/>
        <v>0.57576927133304856</v>
      </c>
      <c r="M75" s="144">
        <f t="shared" si="129"/>
        <v>0.36076185063393185</v>
      </c>
      <c r="N75" s="144">
        <f t="shared" si="129"/>
        <v>0.28592822871181905</v>
      </c>
      <c r="O75" s="144">
        <f t="shared" si="129"/>
        <v>0.27300903685676553</v>
      </c>
      <c r="P75" s="331">
        <f t="shared" ref="P75" si="130">IF(P66=0,0,(P66-P67)/P66)</f>
        <v>0.43165397121856908</v>
      </c>
      <c r="Q75" s="297">
        <f>(Q66-Q67)/Q66</f>
        <v>0.25419488045799021</v>
      </c>
      <c r="R75" s="144">
        <f t="shared" ref="R75:AB75" si="131">(R66-R67)/R66</f>
        <v>0.21512708890466151</v>
      </c>
      <c r="S75" s="144">
        <f t="shared" si="131"/>
        <v>0.25768437758874596</v>
      </c>
      <c r="T75" s="144">
        <f t="shared" si="131"/>
        <v>0.1925497624933904</v>
      </c>
      <c r="U75" s="144">
        <f t="shared" si="131"/>
        <v>0.42449280086406044</v>
      </c>
      <c r="V75" s="144">
        <f t="shared" si="131"/>
        <v>0.61602574394270437</v>
      </c>
      <c r="W75" s="144">
        <f t="shared" si="131"/>
        <v>0.83203864778853109</v>
      </c>
      <c r="X75" s="144">
        <f t="shared" si="131"/>
        <v>0.83401051509841195</v>
      </c>
      <c r="Y75" s="144">
        <f t="shared" si="131"/>
        <v>0.63311607288010552</v>
      </c>
      <c r="Z75" s="144">
        <f t="shared" si="131"/>
        <v>0.38408128690382287</v>
      </c>
      <c r="AA75" s="144">
        <f t="shared" si="131"/>
        <v>0.28117054257395735</v>
      </c>
      <c r="AB75" s="144">
        <f t="shared" si="131"/>
        <v>0.26369211671752418</v>
      </c>
      <c r="AC75" s="341">
        <f>IF(AC66=0,0,(AC66-AC67)/AC66)</f>
        <v>0.40987946672630055</v>
      </c>
      <c r="AD75" s="297">
        <f>(AD66-AD67)/AD66</f>
        <v>0.29141265235055136</v>
      </c>
      <c r="AE75" s="144">
        <f t="shared" ref="AE75:AO75" si="132">(AE66-AE67)/AE66</f>
        <v>0.3183848811682925</v>
      </c>
      <c r="AF75" s="144">
        <f t="shared" si="132"/>
        <v>0.29010709620402986</v>
      </c>
      <c r="AG75" s="144">
        <f t="shared" si="132"/>
        <v>0.40738481552805844</v>
      </c>
      <c r="AH75" s="144">
        <f t="shared" si="132"/>
        <v>0.67416843381161284</v>
      </c>
      <c r="AI75" s="144">
        <f t="shared" si="132"/>
        <v>0.70857530486214004</v>
      </c>
      <c r="AJ75" s="144">
        <f t="shared" si="132"/>
        <v>0.83217498554477309</v>
      </c>
      <c r="AK75" s="144">
        <f t="shared" si="132"/>
        <v>0.82460024445256486</v>
      </c>
      <c r="AL75" s="144">
        <f t="shared" si="132"/>
        <v>0.74477943588569162</v>
      </c>
      <c r="AM75" s="144">
        <f t="shared" si="132"/>
        <v>0.38727563397250586</v>
      </c>
      <c r="AN75" s="144">
        <f t="shared" si="132"/>
        <v>0.26810768614785468</v>
      </c>
      <c r="AO75" s="144">
        <f t="shared" si="132"/>
        <v>0.27177195756433853</v>
      </c>
      <c r="AP75" s="331">
        <f>IF(AP66=0,0,(AP66-AP67)/AP66)</f>
        <v>0.46836961419999695</v>
      </c>
      <c r="AQ75" s="297">
        <f>(AQ66-AQ67)/AQ66</f>
        <v>0.37153293855989433</v>
      </c>
      <c r="AR75" s="144">
        <f t="shared" ref="AR75:BB75" si="133">(AR66-AR67)/AR66</f>
        <v>0.34829510535726971</v>
      </c>
      <c r="AS75" s="144">
        <f t="shared" si="133"/>
        <v>0.29263877733666843</v>
      </c>
      <c r="AT75" s="144">
        <f t="shared" si="133"/>
        <v>0.34367112658373455</v>
      </c>
      <c r="AU75" s="144">
        <f t="shared" si="133"/>
        <v>0.60501981755917966</v>
      </c>
      <c r="AV75" s="144">
        <f t="shared" si="133"/>
        <v>0.77806053734008196</v>
      </c>
      <c r="AW75" s="144">
        <f t="shared" si="133"/>
        <v>0.79340465513805425</v>
      </c>
      <c r="AX75" s="144">
        <f t="shared" si="133"/>
        <v>0.75753705705633512</v>
      </c>
      <c r="AY75" s="144">
        <f t="shared" si="133"/>
        <v>0.70799113328079155</v>
      </c>
      <c r="AZ75" s="144">
        <f t="shared" si="133"/>
        <v>0.39264980873618627</v>
      </c>
      <c r="BA75" s="144">
        <f t="shared" si="133"/>
        <v>0.3213245938770386</v>
      </c>
      <c r="BB75" s="144">
        <f t="shared" si="133"/>
        <v>0.25194101237078265</v>
      </c>
      <c r="BC75" s="331">
        <f t="shared" ref="BC75" si="134">(BC66-BC67)/BC66</f>
        <v>0.46868184003989766</v>
      </c>
      <c r="BD75" s="174"/>
    </row>
    <row r="76" spans="2:64" s="173" customFormat="1" x14ac:dyDescent="0.2">
      <c r="B76" s="117" t="s">
        <v>79</v>
      </c>
      <c r="C76" s="175" t="s">
        <v>77</v>
      </c>
      <c r="D76" s="166">
        <f>(D63-D64+D67/1000*(1-D78)*0.86)/(7*(D71*D67/1000*(1-D78)+D68*(D63-D64)))*1000</f>
        <v>0.83290908477137537</v>
      </c>
      <c r="E76" s="166">
        <f t="shared" ref="E76:O76" si="135">(E63-E64+E67/1000*(1-E78)*0.86)/(7*(E71*E67/1000*(1-E78)+E68*(E63-E64)))*1000</f>
        <v>0.82903147704431801</v>
      </c>
      <c r="F76" s="166">
        <f t="shared" si="135"/>
        <v>0.83531733883318282</v>
      </c>
      <c r="G76" s="166">
        <f t="shared" si="135"/>
        <v>0.85282198658913866</v>
      </c>
      <c r="H76" s="166">
        <f t="shared" si="135"/>
        <v>0.83406069891222334</v>
      </c>
      <c r="I76" s="166">
        <f t="shared" si="135"/>
        <v>0.82537855951018735</v>
      </c>
      <c r="J76" s="166">
        <f t="shared" si="135"/>
        <v>0.81397515292441702</v>
      </c>
      <c r="K76" s="166">
        <f t="shared" si="135"/>
        <v>0.81313373631201502</v>
      </c>
      <c r="L76" s="166">
        <f t="shared" si="135"/>
        <v>0.82507616516593885</v>
      </c>
      <c r="M76" s="184">
        <f t="shared" si="135"/>
        <v>0.84238980991444912</v>
      </c>
      <c r="N76" s="391">
        <f t="shared" si="135"/>
        <v>0.84506323009358608</v>
      </c>
      <c r="O76" s="391">
        <f t="shared" si="135"/>
        <v>0.83005198937527769</v>
      </c>
      <c r="P76" s="327">
        <f t="shared" ref="P76" si="136">IF((P63-P64)=0,0,(P63-P64+P67/1000*(1-P78)*0.86)/(7*(P71*P67/1000*(1-P78)+P68*(P63-P64)))*1000)</f>
        <v>0.83456510312722276</v>
      </c>
      <c r="Q76" s="298">
        <f>(Q63-Q64+Q67/1000*(1-Q78)*0.86)/(7*(Q71*Q67/1000*(1-Q78)+Q68*(Q63-Q64)))*1000</f>
        <v>0.82884077813394552</v>
      </c>
      <c r="R76" s="166">
        <f t="shared" ref="R76:AB76" si="137">(R63-R64+R67/1000*(1-R78)*0.86)/(7*(R71*R67/1000*(1-R78)+R68*(R63-R64)))*1000</f>
        <v>0.83768284807195803</v>
      </c>
      <c r="S76" s="166">
        <f t="shared" si="137"/>
        <v>0.82542487136978748</v>
      </c>
      <c r="T76" s="166">
        <f t="shared" si="137"/>
        <v>0.83455467240628911</v>
      </c>
      <c r="U76" s="166">
        <f t="shared" si="137"/>
        <v>0.81958839299812192</v>
      </c>
      <c r="V76" s="166">
        <f t="shared" si="137"/>
        <v>0.79619591024159209</v>
      </c>
      <c r="W76" s="166">
        <f t="shared" si="137"/>
        <v>0.78838230246546426</v>
      </c>
      <c r="X76" s="166">
        <f t="shared" si="137"/>
        <v>0.78704613957102465</v>
      </c>
      <c r="Y76" s="166">
        <f t="shared" si="137"/>
        <v>0.82383307053521759</v>
      </c>
      <c r="Z76" s="184">
        <f t="shared" si="137"/>
        <v>0.84001181530258817</v>
      </c>
      <c r="AA76" s="391">
        <f t="shared" si="137"/>
        <v>0.83136948248714826</v>
      </c>
      <c r="AB76" s="391">
        <f t="shared" si="137"/>
        <v>0.83797245276603816</v>
      </c>
      <c r="AC76" s="343">
        <f>IF((AC63-AC64)=0,0,(AC63-AC64+AC67/1000*(1-AC78)*0.86)/(7*(AC71*AC67/1000*(1-AC78)+AC68*(AC63-AC64)))*1000)</f>
        <v>0.82857377790132136</v>
      </c>
      <c r="AD76" s="298">
        <f>(AD63-AD64+AD67/1000*(1-AD78)*0.86)/(7*(AD71*AD67/1000*(1-AD78)+AD68*(AD63-AD64)))*1000</f>
        <v>0.83084614772932552</v>
      </c>
      <c r="AE76" s="166">
        <f t="shared" ref="AE76:AO76" si="138">(AE63-AE64+AE67/1000*(1-AE78)*0.86)/(7*(AE71*AE67/1000*(1-AE78)+AE68*(AE63-AE64)))*1000</f>
        <v>0.83064574642614197</v>
      </c>
      <c r="AF76" s="166">
        <f t="shared" si="138"/>
        <v>0.8372123725685624</v>
      </c>
      <c r="AG76" s="166">
        <f t="shared" si="138"/>
        <v>0.84633309534922163</v>
      </c>
      <c r="AH76" s="166">
        <f t="shared" si="138"/>
        <v>0.80217401698649793</v>
      </c>
      <c r="AI76" s="166">
        <f t="shared" si="138"/>
        <v>0.81234712161773659</v>
      </c>
      <c r="AJ76" s="166">
        <f t="shared" si="138"/>
        <v>0.77765305997715672</v>
      </c>
      <c r="AK76" s="166">
        <f t="shared" si="138"/>
        <v>0.78338307582337086</v>
      </c>
      <c r="AL76" s="166">
        <f t="shared" si="138"/>
        <v>0.81020144927876125</v>
      </c>
      <c r="AM76" s="184">
        <f t="shared" si="138"/>
        <v>0.83591407493206293</v>
      </c>
      <c r="AN76" s="391">
        <f t="shared" si="138"/>
        <v>0.82295589811612924</v>
      </c>
      <c r="AO76" s="391">
        <f t="shared" si="138"/>
        <v>0.83486611707854763</v>
      </c>
      <c r="AP76" s="346">
        <f>IF((AP63-AP64)=0,0,(AP63-AP64+AP67/1000*(1-AP78)*0.86)/(7*(AP71*AP67/1000*(1-AP78)+AP68*(AP63-AP64)))*1000)</f>
        <v>0.82758904800667521</v>
      </c>
      <c r="AQ76" s="298">
        <f>(AQ63-AQ64+AQ67/1000*(1-AQ78)*0.86)/(7*(AQ71*AQ67/1000*(1-AQ78)+AQ68*(AQ63-AQ64)))*1000</f>
        <v>0.83185735285622409</v>
      </c>
      <c r="AR76" s="166">
        <f t="shared" ref="AR76:BB76" si="139">(AR63-AR64+AR67/1000*(1-AR78)*0.86)/(7*(AR71*AR67/1000*(1-AR78)+AR68*(AR63-AR64)))*1000</f>
        <v>0.83543310487420464</v>
      </c>
      <c r="AS76" s="166">
        <f t="shared" si="139"/>
        <v>0.8404275350867062</v>
      </c>
      <c r="AT76" s="166">
        <f t="shared" si="139"/>
        <v>0.84548136394232198</v>
      </c>
      <c r="AU76" s="166">
        <f t="shared" si="139"/>
        <v>0.80596054503632764</v>
      </c>
      <c r="AV76" s="166">
        <f t="shared" si="139"/>
        <v>0.79732512267468603</v>
      </c>
      <c r="AW76" s="166">
        <f t="shared" si="139"/>
        <v>0.80704719706288131</v>
      </c>
      <c r="AX76" s="166">
        <f t="shared" si="139"/>
        <v>0.8047718601747309</v>
      </c>
      <c r="AY76" s="166">
        <f t="shared" si="139"/>
        <v>0.82350958069561064</v>
      </c>
      <c r="AZ76" s="184">
        <f t="shared" si="139"/>
        <v>0.83018074391963259</v>
      </c>
      <c r="BA76" s="391">
        <f t="shared" si="139"/>
        <v>0.83217636567515563</v>
      </c>
      <c r="BB76" s="391">
        <f t="shared" si="139"/>
        <v>0.83444437191583143</v>
      </c>
      <c r="BC76" s="347">
        <f t="shared" ref="BC76" si="140">(BC63-BC64+BC67/1000*(1-BC78)*0.86)/(7*(BC71*BC67/1000*(1-BC78)+BC68*(BC63-BC64)))*1000</f>
        <v>0.83043625303871094</v>
      </c>
      <c r="BD76" s="174"/>
    </row>
    <row r="77" spans="2:64" s="173" customFormat="1" x14ac:dyDescent="0.2">
      <c r="B77" s="117" t="s">
        <v>80</v>
      </c>
      <c r="C77" s="175" t="s">
        <v>81</v>
      </c>
      <c r="D77" s="221">
        <v>440558</v>
      </c>
      <c r="E77" s="268">
        <v>440196</v>
      </c>
      <c r="F77" s="169">
        <v>388920</v>
      </c>
      <c r="G77" s="221">
        <v>279946</v>
      </c>
      <c r="H77" s="168">
        <v>212869</v>
      </c>
      <c r="I77" s="168">
        <v>231171.99999999997</v>
      </c>
      <c r="J77" s="168">
        <v>232201.00000000003</v>
      </c>
      <c r="K77" s="168">
        <v>240614.99999999997</v>
      </c>
      <c r="L77" s="170">
        <v>278370</v>
      </c>
      <c r="M77" s="171">
        <v>292666</v>
      </c>
      <c r="N77" s="168">
        <v>346453</v>
      </c>
      <c r="O77" s="168">
        <v>465560</v>
      </c>
      <c r="P77" s="335">
        <f>SUM(D77:O77)</f>
        <v>3849526</v>
      </c>
      <c r="Q77" s="392">
        <v>442940</v>
      </c>
      <c r="R77" s="268">
        <v>350082</v>
      </c>
      <c r="S77" s="169">
        <v>383813.00000000006</v>
      </c>
      <c r="T77" s="221">
        <v>274509</v>
      </c>
      <c r="U77" s="168">
        <v>204162</v>
      </c>
      <c r="V77" s="168">
        <v>173212</v>
      </c>
      <c r="W77" s="168">
        <v>264860</v>
      </c>
      <c r="X77" s="168">
        <v>258042.00000000003</v>
      </c>
      <c r="Y77" s="170">
        <v>288827</v>
      </c>
      <c r="Z77" s="171">
        <v>316564</v>
      </c>
      <c r="AA77" s="168">
        <v>374905</v>
      </c>
      <c r="AB77" s="168">
        <v>444314</v>
      </c>
      <c r="AC77" s="344">
        <f>SUM(Q77:AB77)</f>
        <v>3776230</v>
      </c>
      <c r="AD77" s="393">
        <v>461230</v>
      </c>
      <c r="AE77" s="268">
        <v>405198</v>
      </c>
      <c r="AF77" s="169">
        <v>382087</v>
      </c>
      <c r="AG77" s="250">
        <v>262625</v>
      </c>
      <c r="AH77" s="168">
        <v>218436</v>
      </c>
      <c r="AI77" s="168">
        <v>204322</v>
      </c>
      <c r="AJ77" s="168">
        <v>244773</v>
      </c>
      <c r="AK77" s="168">
        <v>270900</v>
      </c>
      <c r="AL77" s="170">
        <v>275414</v>
      </c>
      <c r="AM77" s="171">
        <v>354659</v>
      </c>
      <c r="AN77" s="168">
        <v>366725</v>
      </c>
      <c r="AO77" s="168">
        <v>464063</v>
      </c>
      <c r="AP77" s="344">
        <f>SUM(AD77:AO77)</f>
        <v>3910432</v>
      </c>
      <c r="AQ77" s="393">
        <v>509172</v>
      </c>
      <c r="AR77" s="268">
        <v>436727</v>
      </c>
      <c r="AS77" s="169">
        <v>394380</v>
      </c>
      <c r="AT77" s="250">
        <v>292393</v>
      </c>
      <c r="AU77" s="168">
        <v>285172</v>
      </c>
      <c r="AV77" s="168">
        <v>269624</v>
      </c>
      <c r="AW77" s="168">
        <v>276590</v>
      </c>
      <c r="AX77" s="168">
        <v>224684</v>
      </c>
      <c r="AY77" s="170">
        <v>248329</v>
      </c>
      <c r="AZ77" s="171">
        <v>310661</v>
      </c>
      <c r="BA77" s="168">
        <v>374493</v>
      </c>
      <c r="BB77" s="168">
        <v>421672</v>
      </c>
      <c r="BC77" s="336">
        <f>SUM(AQ77:BB77)</f>
        <v>4043897</v>
      </c>
      <c r="BD77" s="174"/>
    </row>
    <row r="78" spans="2:64" s="173" customFormat="1" ht="15.75" thickBot="1" x14ac:dyDescent="0.25">
      <c r="B78" s="117" t="s">
        <v>82</v>
      </c>
      <c r="C78" s="175" t="s">
        <v>77</v>
      </c>
      <c r="D78" s="394">
        <v>7.2831319983591727E-2</v>
      </c>
      <c r="E78" s="145">
        <v>7.2405760848754649E-2</v>
      </c>
      <c r="F78" s="146">
        <v>7.4144035663961036E-2</v>
      </c>
      <c r="G78" s="147">
        <v>7.6856547611210274E-2</v>
      </c>
      <c r="H78" s="147">
        <v>7.6463578880263727E-2</v>
      </c>
      <c r="I78" s="147">
        <v>6.7305141008261099E-2</v>
      </c>
      <c r="J78" s="148">
        <v>7.0803707120722537E-2</v>
      </c>
      <c r="K78" s="147">
        <v>6.8951519064345254E-2</v>
      </c>
      <c r="L78" s="148">
        <v>7.1825011659341131E-2</v>
      </c>
      <c r="M78" s="147">
        <v>7.9561829090881761E-2</v>
      </c>
      <c r="N78" s="147">
        <v>7.5787651643552376E-2</v>
      </c>
      <c r="O78" s="147">
        <v>7.5943506669511718E-2</v>
      </c>
      <c r="P78" s="334">
        <f>AVERAGE(D78:O78)</f>
        <v>7.3573300770366432E-2</v>
      </c>
      <c r="Q78" s="395">
        <v>7.7660308298725986E-2</v>
      </c>
      <c r="R78" s="145">
        <v>7.7127396181589342E-2</v>
      </c>
      <c r="S78" s="146">
        <v>7.9262955919592606E-2</v>
      </c>
      <c r="T78" s="147">
        <v>8.9524809059285781E-2</v>
      </c>
      <c r="U78" s="147">
        <v>9.2869835733542599E-2</v>
      </c>
      <c r="V78" s="147">
        <v>9.5509003632166897E-2</v>
      </c>
      <c r="W78" s="148">
        <v>6.8934399823745995E-2</v>
      </c>
      <c r="X78" s="147">
        <v>6.9824109503933057E-2</v>
      </c>
      <c r="Y78" s="148">
        <v>6.9199236873952408E-2</v>
      </c>
      <c r="Z78" s="147">
        <v>7.4138456160750266E-2</v>
      </c>
      <c r="AA78" s="147">
        <v>7.476916221512632E-2</v>
      </c>
      <c r="AB78" s="147">
        <v>7.0770127306799602E-2</v>
      </c>
      <c r="AC78" s="328">
        <f>AVERAGE(Q78:AB78)</f>
        <v>7.8299150059100889E-2</v>
      </c>
      <c r="AD78" s="396">
        <v>7.156576292734157E-2</v>
      </c>
      <c r="AE78" s="145">
        <v>7.2554179979919017E-2</v>
      </c>
      <c r="AF78" s="397">
        <v>7.3290265954263634E-2</v>
      </c>
      <c r="AG78" s="398">
        <v>7.8530972042099467E-2</v>
      </c>
      <c r="AH78" s="398">
        <v>6.8956875316244975E-2</v>
      </c>
      <c r="AI78" s="398">
        <v>7.088092391740887E-2</v>
      </c>
      <c r="AJ78" s="148">
        <v>7.0471359581346663E-2</v>
      </c>
      <c r="AK78" s="398">
        <v>6.641171356207709E-2</v>
      </c>
      <c r="AL78" s="148">
        <v>7.0028409970104538E-2</v>
      </c>
      <c r="AM78" s="398">
        <v>7.2358828890476512E-2</v>
      </c>
      <c r="AN78" s="398">
        <v>8.0928909111595851E-2</v>
      </c>
      <c r="AO78" s="147">
        <v>7.3263798538674499E-2</v>
      </c>
      <c r="AP78" s="328">
        <f>AVERAGE(AD78:AO78)</f>
        <v>7.243683331596272E-2</v>
      </c>
      <c r="AQ78" s="399">
        <v>7.3906002465866732E-2</v>
      </c>
      <c r="AR78" s="400">
        <v>7.1798685094423553E-2</v>
      </c>
      <c r="AS78" s="401">
        <v>6.9885490052091701E-2</v>
      </c>
      <c r="AT78" s="402">
        <v>7.6258121672648685E-2</v>
      </c>
      <c r="AU78" s="402">
        <v>7.2467055532078106E-2</v>
      </c>
      <c r="AV78" s="403">
        <v>6.9817526019152976E-2</v>
      </c>
      <c r="AW78" s="404">
        <v>7.4636985186193119E-2</v>
      </c>
      <c r="AX78" s="403">
        <v>7.7192716225322519E-2</v>
      </c>
      <c r="AY78" s="404">
        <v>7.2353141287957209E-2</v>
      </c>
      <c r="AZ78" s="402">
        <v>8.1738160638670565E-2</v>
      </c>
      <c r="BA78" s="402">
        <v>8.0217097496220566E-2</v>
      </c>
      <c r="BB78" s="408">
        <v>7.7404988521460757E-2</v>
      </c>
      <c r="BC78" s="328">
        <f>AVERAGE(AQ78:BB78)</f>
        <v>7.4806330849340533E-2</v>
      </c>
      <c r="BD78" s="185"/>
      <c r="BE78" s="185"/>
      <c r="BF78" s="185"/>
      <c r="BG78" s="185"/>
      <c r="BH78" s="185"/>
      <c r="BI78" s="185"/>
      <c r="BJ78" s="185"/>
      <c r="BK78" s="185"/>
      <c r="BL78" s="185"/>
    </row>
    <row r="81" spans="16:16" x14ac:dyDescent="0.2">
      <c r="P81" s="409"/>
    </row>
  </sheetData>
  <mergeCells count="29">
    <mergeCell ref="B4:B5"/>
    <mergeCell ref="C4:C5"/>
    <mergeCell ref="AQ4:BC4"/>
    <mergeCell ref="D4:P4"/>
    <mergeCell ref="AQ3:BC3"/>
    <mergeCell ref="D3:P3"/>
    <mergeCell ref="Q3:AC3"/>
    <mergeCell ref="AD3:AP3"/>
    <mergeCell ref="AD4:AP4"/>
    <mergeCell ref="Q4:AC4"/>
    <mergeCell ref="AD23:AP23"/>
    <mergeCell ref="Q23:AC23"/>
    <mergeCell ref="D23:P23"/>
    <mergeCell ref="B22:BC22"/>
    <mergeCell ref="B23:B24"/>
    <mergeCell ref="C23:C24"/>
    <mergeCell ref="AQ23:BC23"/>
    <mergeCell ref="AQ42:BC42"/>
    <mergeCell ref="B42:B43"/>
    <mergeCell ref="C42:C43"/>
    <mergeCell ref="D42:P42"/>
    <mergeCell ref="Q42:AC42"/>
    <mergeCell ref="AD42:AP42"/>
    <mergeCell ref="AQ61:BC61"/>
    <mergeCell ref="B61:B62"/>
    <mergeCell ref="C61:C62"/>
    <mergeCell ref="D61:P61"/>
    <mergeCell ref="Q61:AC61"/>
    <mergeCell ref="AD61:AP61"/>
  </mergeCells>
  <pageMargins left="0.7" right="0.7" top="0.75" bottom="0.75" header="0.3" footer="0.3"/>
  <pageSetup paperSize="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2614D-50AB-4EFB-B6AF-4C6D30650D23}">
  <sheetPr>
    <tabColor rgb="FFDDEBF7"/>
  </sheetPr>
  <dimension ref="A1"/>
  <sheetViews>
    <sheetView showGridLines="0" topLeftCell="A20" workbookViewId="0">
      <selection activeCell="K28" sqref="K28"/>
    </sheetView>
  </sheetViews>
  <sheetFormatPr defaultColWidth="8.85546875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EC9C-5EC8-45E5-AEB4-0095965B950D}">
  <sheetPr>
    <tabColor rgb="FFDDEBF7"/>
  </sheetPr>
  <dimension ref="B2:D19"/>
  <sheetViews>
    <sheetView showGridLines="0" zoomScale="85" zoomScaleNormal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W37" sqref="W37"/>
    </sheetView>
  </sheetViews>
  <sheetFormatPr defaultColWidth="9.140625" defaultRowHeight="14.25" x14ac:dyDescent="0.2"/>
  <cols>
    <col min="1" max="1" width="9.140625" style="49"/>
    <col min="2" max="2" width="18.140625" style="49" customWidth="1"/>
    <col min="3" max="4" width="22" style="49" customWidth="1"/>
    <col min="5" max="16384" width="9.140625" style="49"/>
  </cols>
  <sheetData>
    <row r="2" spans="2:4" x14ac:dyDescent="0.2">
      <c r="B2" s="49" t="s">
        <v>61</v>
      </c>
    </row>
    <row r="3" spans="2:4" ht="39" customHeight="1" x14ac:dyDescent="0.2">
      <c r="B3" s="81" t="s">
        <v>51</v>
      </c>
      <c r="C3" s="80" t="s">
        <v>48</v>
      </c>
      <c r="D3" s="80" t="s">
        <v>48</v>
      </c>
    </row>
    <row r="4" spans="2:4" x14ac:dyDescent="0.2">
      <c r="B4" s="82">
        <v>1.59</v>
      </c>
      <c r="C4" s="8" t="s">
        <v>44</v>
      </c>
      <c r="D4" s="8" t="s">
        <v>50</v>
      </c>
    </row>
    <row r="15" spans="2:4" ht="17.25" customHeight="1" x14ac:dyDescent="0.2"/>
    <row r="17" spans="2:4" x14ac:dyDescent="0.2">
      <c r="B17" s="1"/>
      <c r="C17" s="1"/>
      <c r="D17" s="1"/>
    </row>
    <row r="18" spans="2:4" ht="24" customHeight="1" x14ac:dyDescent="0.2"/>
    <row r="19" spans="2:4" s="1" customFormat="1" ht="60.75" customHeight="1" x14ac:dyDescent="0.2">
      <c r="B19" s="49"/>
      <c r="C19" s="49"/>
      <c r="D19" s="4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ACF82-B06D-477E-B353-474D3E2F0592}">
  <dimension ref="A1"/>
  <sheetViews>
    <sheetView showGridLines="0" workbookViewId="0">
      <selection activeCell="AA38" sqref="AA38"/>
    </sheetView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Свод</vt:lpstr>
      <vt:lpstr>Исходные данные&gt;&gt;</vt:lpstr>
      <vt:lpstr>Исходные данные_отпуск тепла</vt:lpstr>
      <vt:lpstr>Исходные данные_котельные</vt:lpstr>
      <vt:lpstr>Исходные данные_топл. эффект</vt:lpstr>
      <vt:lpstr>Исходные данные_показатели ТЭЦ</vt:lpstr>
      <vt:lpstr>Коэффициенты&gt;&gt;</vt:lpstr>
      <vt:lpstr>Природный газ</vt:lpstr>
      <vt:lpstr>Расчетные модели&gt;&gt;</vt:lpstr>
      <vt:lpstr>Базовая линия</vt:lpstr>
      <vt:lpstr>Проектный сценарий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</dc:creator>
  <cp:lastModifiedBy>Михаил</cp:lastModifiedBy>
  <dcterms:created xsi:type="dcterms:W3CDTF">2024-12-09T17:07:01Z</dcterms:created>
  <dcterms:modified xsi:type="dcterms:W3CDTF">2026-04-22T15:13:32Z</dcterms:modified>
</cp:coreProperties>
</file>